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240" yWindow="270" windowWidth="13170" windowHeight="7365" tabRatio="647"/>
  </bookViews>
  <sheets>
    <sheet name="Planilha de valores" sheetId="7" r:id="rId1"/>
    <sheet name="Etapas" sheetId="6" r:id="rId2"/>
    <sheet name="Orçamento resumo" sheetId="8" r:id="rId3"/>
  </sheets>
  <definedNames>
    <definedName name="_xlnm.Print_Area" localSheetId="0">'Planilha de valores'!$A$1:$W$224</definedName>
  </definedNames>
  <calcPr calcId="162913"/>
  <fileRecoveryPr autoRecover="0"/>
</workbook>
</file>

<file path=xl/calcChain.xml><?xml version="1.0" encoding="utf-8"?>
<calcChain xmlns="http://schemas.openxmlformats.org/spreadsheetml/2006/main">
  <c r="E18" i="8" l="1"/>
  <c r="F18" i="8" s="1"/>
  <c r="E19" i="8"/>
  <c r="F19" i="8" s="1"/>
  <c r="E4" i="8"/>
  <c r="F4" i="8" l="1"/>
  <c r="T142" i="7" l="1"/>
  <c r="I142" i="7" s="1"/>
  <c r="J142" i="7" s="1"/>
  <c r="J56" i="7"/>
  <c r="J57" i="7" s="1"/>
  <c r="C9" i="6" s="1"/>
  <c r="D9" i="6" s="1"/>
  <c r="J198" i="7" l="1"/>
  <c r="U78" i="7" l="1"/>
  <c r="J210" i="7" l="1"/>
  <c r="J209" i="7"/>
  <c r="C17" i="6" s="1"/>
  <c r="D17" i="6" s="1"/>
  <c r="J207" i="7"/>
  <c r="I206" i="7"/>
  <c r="J206" i="7" s="1"/>
  <c r="J204" i="7"/>
  <c r="I203" i="7"/>
  <c r="J203" i="7" s="1"/>
  <c r="I202" i="7"/>
  <c r="J202" i="7" s="1"/>
  <c r="J200" i="7"/>
  <c r="C14" i="6" s="1"/>
  <c r="D20" i="8" s="1"/>
  <c r="E20" i="8" s="1"/>
  <c r="F20" i="8" l="1"/>
  <c r="D14" i="6"/>
  <c r="C15" i="6"/>
  <c r="D15" i="6" s="1"/>
  <c r="C16" i="6"/>
  <c r="J211" i="7"/>
  <c r="J213" i="7" s="1"/>
  <c r="J217" i="7" s="1"/>
  <c r="J104" i="7"/>
  <c r="J105" i="7"/>
  <c r="J106" i="7"/>
  <c r="J107" i="7"/>
  <c r="J108" i="7"/>
  <c r="J109" i="7"/>
  <c r="J110" i="7"/>
  <c r="J111" i="7"/>
  <c r="J112" i="7"/>
  <c r="J113" i="7"/>
  <c r="J116" i="7"/>
  <c r="J118" i="7"/>
  <c r="J119" i="7"/>
  <c r="J121" i="7"/>
  <c r="J124" i="7"/>
  <c r="J125" i="7"/>
  <c r="J129" i="7"/>
  <c r="J131" i="7"/>
  <c r="J132" i="7"/>
  <c r="J135" i="7"/>
  <c r="J136" i="7"/>
  <c r="J138" i="7"/>
  <c r="J139" i="7"/>
  <c r="J140" i="7"/>
  <c r="J143" i="7"/>
  <c r="J144" i="7"/>
  <c r="J145" i="7"/>
  <c r="J152" i="7"/>
  <c r="J100" i="7"/>
  <c r="J101" i="7"/>
  <c r="J102" i="7"/>
  <c r="J103" i="7"/>
  <c r="U181" i="7"/>
  <c r="I181" i="7" s="1"/>
  <c r="J181" i="7" s="1"/>
  <c r="U180" i="7"/>
  <c r="I180" i="7" s="1"/>
  <c r="J180" i="7" s="1"/>
  <c r="U179" i="7"/>
  <c r="I179" i="7" s="1"/>
  <c r="J179" i="7" s="1"/>
  <c r="U178" i="7"/>
  <c r="I178" i="7" s="1"/>
  <c r="J178" i="7" s="1"/>
  <c r="U177" i="7"/>
  <c r="I177" i="7" s="1"/>
  <c r="J177" i="7" s="1"/>
  <c r="U161" i="7"/>
  <c r="S161" i="7"/>
  <c r="I168" i="7"/>
  <c r="J168" i="7" s="1"/>
  <c r="I166" i="7"/>
  <c r="J166" i="7" s="1"/>
  <c r="I164" i="7"/>
  <c r="J164" i="7" s="1"/>
  <c r="I160" i="7"/>
  <c r="J160" i="7" s="1"/>
  <c r="I162" i="7"/>
  <c r="J162" i="7" s="1"/>
  <c r="I163" i="7"/>
  <c r="J163" i="7" s="1"/>
  <c r="I165" i="7"/>
  <c r="J165" i="7" s="1"/>
  <c r="I167" i="7"/>
  <c r="J167" i="7" s="1"/>
  <c r="I169" i="7"/>
  <c r="J169" i="7" s="1"/>
  <c r="I170" i="7"/>
  <c r="J170" i="7" s="1"/>
  <c r="I171" i="7"/>
  <c r="J171" i="7" s="1"/>
  <c r="I172" i="7"/>
  <c r="J172" i="7" s="1"/>
  <c r="I173" i="7"/>
  <c r="J173" i="7" s="1"/>
  <c r="I174" i="7"/>
  <c r="J174" i="7" s="1"/>
  <c r="I175" i="7"/>
  <c r="J175" i="7" s="1"/>
  <c r="I176" i="7"/>
  <c r="J176" i="7" s="1"/>
  <c r="I154" i="7"/>
  <c r="J154" i="7" s="1"/>
  <c r="I155" i="7"/>
  <c r="J155" i="7" s="1"/>
  <c r="I156" i="7"/>
  <c r="J156" i="7" s="1"/>
  <c r="I157" i="7"/>
  <c r="J157" i="7" s="1"/>
  <c r="I158" i="7"/>
  <c r="J158" i="7" s="1"/>
  <c r="I159" i="7"/>
  <c r="J159" i="7" s="1"/>
  <c r="I153" i="7"/>
  <c r="J153" i="7" s="1"/>
  <c r="U141" i="7"/>
  <c r="U137" i="7"/>
  <c r="T141" i="7"/>
  <c r="T137" i="7"/>
  <c r="I151" i="7"/>
  <c r="J151" i="7" s="1"/>
  <c r="I150" i="7"/>
  <c r="J150" i="7" s="1"/>
  <c r="I149" i="7"/>
  <c r="J149" i="7" s="1"/>
  <c r="I148" i="7"/>
  <c r="J148" i="7" s="1"/>
  <c r="I147" i="7"/>
  <c r="J147" i="7" s="1"/>
  <c r="I146" i="7"/>
  <c r="J146" i="7" s="1"/>
  <c r="I141" i="7"/>
  <c r="J141" i="7" s="1"/>
  <c r="I137" i="7"/>
  <c r="J137" i="7" s="1"/>
  <c r="I134" i="7"/>
  <c r="J134" i="7" s="1"/>
  <c r="I133" i="7"/>
  <c r="J133" i="7" s="1"/>
  <c r="I130" i="7"/>
  <c r="J130" i="7" s="1"/>
  <c r="I128" i="7"/>
  <c r="J128" i="7" s="1"/>
  <c r="I127" i="7"/>
  <c r="J127" i="7" s="1"/>
  <c r="I126" i="7"/>
  <c r="J126" i="7" s="1"/>
  <c r="I123" i="7"/>
  <c r="J123" i="7" s="1"/>
  <c r="I122" i="7"/>
  <c r="J122" i="7" s="1"/>
  <c r="I120" i="7"/>
  <c r="J120" i="7" s="1"/>
  <c r="I117" i="7"/>
  <c r="J117" i="7" s="1"/>
  <c r="I115" i="7"/>
  <c r="J115" i="7" s="1"/>
  <c r="I114" i="7"/>
  <c r="J114" i="7" s="1"/>
  <c r="I99" i="7"/>
  <c r="J99" i="7" s="1"/>
  <c r="D16" i="6" l="1"/>
  <c r="D21" i="8"/>
  <c r="E21" i="8" s="1"/>
  <c r="F21" i="8" s="1"/>
  <c r="I161" i="7"/>
  <c r="J161" i="7" s="1"/>
  <c r="J182" i="7" s="1"/>
  <c r="C13" i="6" s="1"/>
  <c r="D13" i="6" s="1"/>
  <c r="I80" i="7" l="1"/>
  <c r="I81" i="7"/>
  <c r="I82" i="7"/>
  <c r="I83" i="7"/>
  <c r="I84" i="7"/>
  <c r="I85" i="7"/>
  <c r="I86" i="7"/>
  <c r="I87" i="7"/>
  <c r="I88" i="7"/>
  <c r="I90" i="7"/>
  <c r="I79" i="7"/>
  <c r="I78" i="7"/>
  <c r="T89" i="7"/>
  <c r="I89" i="7" s="1"/>
  <c r="J77" i="7"/>
  <c r="J78" i="7" l="1"/>
  <c r="D5" i="8"/>
  <c r="E5" i="8" s="1"/>
  <c r="F5" i="8" s="1"/>
  <c r="J90" i="7"/>
  <c r="D17" i="8"/>
  <c r="E17" i="8" s="1"/>
  <c r="F17" i="8" s="1"/>
  <c r="J87" i="7"/>
  <c r="D14" i="8"/>
  <c r="E14" i="8" s="1"/>
  <c r="F14" i="8" s="1"/>
  <c r="J85" i="7"/>
  <c r="D12" i="8"/>
  <c r="E12" i="8" s="1"/>
  <c r="F12" i="8" s="1"/>
  <c r="J83" i="7"/>
  <c r="D10" i="8"/>
  <c r="E10" i="8" s="1"/>
  <c r="F10" i="8" s="1"/>
  <c r="J81" i="7"/>
  <c r="D8" i="8"/>
  <c r="E8" i="8" s="1"/>
  <c r="F8" i="8" s="1"/>
  <c r="J89" i="7"/>
  <c r="D16" i="8"/>
  <c r="E16" i="8" s="1"/>
  <c r="F16" i="8" s="1"/>
  <c r="J79" i="7"/>
  <c r="D6" i="8"/>
  <c r="E6" i="8" s="1"/>
  <c r="F6" i="8" s="1"/>
  <c r="J88" i="7"/>
  <c r="D15" i="8"/>
  <c r="E15" i="8" s="1"/>
  <c r="F15" i="8" s="1"/>
  <c r="J86" i="7"/>
  <c r="D13" i="8"/>
  <c r="E13" i="8" s="1"/>
  <c r="F13" i="8" s="1"/>
  <c r="J84" i="7"/>
  <c r="D11" i="8"/>
  <c r="E11" i="8" s="1"/>
  <c r="F11" i="8" s="1"/>
  <c r="J82" i="7"/>
  <c r="D9" i="8"/>
  <c r="E9" i="8" s="1"/>
  <c r="F9" i="8" s="1"/>
  <c r="J80" i="7"/>
  <c r="D7" i="8"/>
  <c r="E7" i="8" s="1"/>
  <c r="F7" i="8" s="1"/>
  <c r="J91" i="7"/>
  <c r="C12" i="6" s="1"/>
  <c r="D12" i="6" s="1"/>
  <c r="F22" i="8" l="1"/>
  <c r="H51" i="7"/>
  <c r="J51" i="7" s="1"/>
  <c r="H46" i="7"/>
  <c r="J46" i="7" s="1"/>
  <c r="H50" i="7"/>
  <c r="J50" i="7" s="1"/>
  <c r="H45" i="7"/>
  <c r="J45" i="7" s="1"/>
  <c r="J72" i="7"/>
  <c r="J71" i="7"/>
  <c r="J70" i="7"/>
  <c r="J69" i="7"/>
  <c r="J68" i="7"/>
  <c r="J67" i="7"/>
  <c r="J66" i="7"/>
  <c r="J65" i="7"/>
  <c r="J64" i="7"/>
  <c r="J63" i="7"/>
  <c r="H41" i="7"/>
  <c r="J41" i="7" s="1"/>
  <c r="H40" i="7"/>
  <c r="J40" i="7" s="1"/>
  <c r="H38" i="7"/>
  <c r="J38" i="7" s="1"/>
  <c r="H37" i="7"/>
  <c r="J37" i="7" s="1"/>
  <c r="H36" i="7"/>
  <c r="J36" i="7" s="1"/>
  <c r="H35" i="7"/>
  <c r="J35" i="7" s="1"/>
  <c r="H31" i="7"/>
  <c r="J31" i="7" s="1"/>
  <c r="J30" i="7"/>
  <c r="H29" i="7"/>
  <c r="J29" i="7" s="1"/>
  <c r="H28" i="7"/>
  <c r="J28" i="7" s="1"/>
  <c r="H22" i="7"/>
  <c r="J22" i="7" s="1"/>
  <c r="H19" i="7"/>
  <c r="J19" i="7" s="1"/>
  <c r="J17" i="7"/>
  <c r="J16" i="7"/>
  <c r="J15" i="7"/>
  <c r="J73" i="7" l="1"/>
  <c r="C10" i="6" s="1"/>
  <c r="D10" i="6" s="1"/>
  <c r="C3" i="6"/>
  <c r="D3" i="6" s="1"/>
  <c r="J32" i="7"/>
  <c r="C5" i="6" s="1"/>
  <c r="D5" i="6" s="1"/>
  <c r="J42" i="7"/>
  <c r="C6" i="6" s="1"/>
  <c r="D6" i="6" s="1"/>
  <c r="J47" i="7"/>
  <c r="C7" i="6" s="1"/>
  <c r="D7" i="6" s="1"/>
  <c r="J52" i="7"/>
  <c r="C8" i="6" s="1"/>
  <c r="D8" i="6" s="1"/>
  <c r="H20" i="7"/>
  <c r="J20" i="7" s="1"/>
  <c r="H21" i="7"/>
  <c r="J21" i="7" s="1"/>
  <c r="H23" i="7"/>
  <c r="H60" i="7"/>
  <c r="J60" i="7" s="1"/>
  <c r="J61" i="7" s="1"/>
  <c r="C11" i="6" s="1"/>
  <c r="D11" i="6" s="1"/>
  <c r="J23" i="7" l="1"/>
  <c r="H24" i="7"/>
  <c r="J24" i="7" s="1"/>
  <c r="C4" i="6" l="1"/>
  <c r="D4" i="6" s="1"/>
  <c r="J25" i="7"/>
  <c r="J186" i="7" l="1"/>
  <c r="J192" i="7" s="1"/>
  <c r="H220" i="7" s="1"/>
  <c r="D18" i="6"/>
  <c r="C18" i="6" l="1"/>
</calcChain>
</file>

<file path=xl/sharedStrings.xml><?xml version="1.0" encoding="utf-8"?>
<sst xmlns="http://schemas.openxmlformats.org/spreadsheetml/2006/main" count="1050" uniqueCount="438">
  <si>
    <t>ÍTEM</t>
  </si>
  <si>
    <t>1.1</t>
  </si>
  <si>
    <t>1.2</t>
  </si>
  <si>
    <t>2.2</t>
  </si>
  <si>
    <t>DESCRIÇÃO DO SERVIÇO</t>
  </si>
  <si>
    <t>m²</t>
  </si>
  <si>
    <t>1.1.1</t>
  </si>
  <si>
    <t>1.2.1</t>
  </si>
  <si>
    <t>2.2.1</t>
  </si>
  <si>
    <t>3.1.1</t>
  </si>
  <si>
    <t>COBERTURA</t>
  </si>
  <si>
    <t>4.1</t>
  </si>
  <si>
    <t>4.1.1</t>
  </si>
  <si>
    <t>5.1</t>
  </si>
  <si>
    <t>6.1</t>
  </si>
  <si>
    <t>6.1.1</t>
  </si>
  <si>
    <t>LIMPEZA DA OBRA</t>
  </si>
  <si>
    <t>1.2.2</t>
  </si>
  <si>
    <t>3.1.2</t>
  </si>
  <si>
    <t>5.1.1</t>
  </si>
  <si>
    <t>INFRA ESTRUTURA</t>
  </si>
  <si>
    <t>7.1.1</t>
  </si>
  <si>
    <t xml:space="preserve">  SERVIÇOS PRELIMINARES</t>
  </si>
  <si>
    <t xml:space="preserve">  CASA DE OPERAÇÃO</t>
  </si>
  <si>
    <t xml:space="preserve">  SERVIÇOS COMPLEMENTARES</t>
  </si>
  <si>
    <t>LIGAÇÃO ENTRE OS SISTEMAS</t>
  </si>
  <si>
    <t>5.1.2</t>
  </si>
  <si>
    <t>1.2.3</t>
  </si>
  <si>
    <t>4.1.2</t>
  </si>
  <si>
    <t>1.2.4</t>
  </si>
  <si>
    <t>2.2.2</t>
  </si>
  <si>
    <t>M²</t>
  </si>
  <si>
    <t>MÊS</t>
  </si>
  <si>
    <t>PLACA DE OBRA EM CHAPA DE AÇO GALVANIZADO.</t>
  </si>
  <si>
    <t>M³</t>
  </si>
  <si>
    <t>1.1.2</t>
  </si>
  <si>
    <t>1.1.3</t>
  </si>
  <si>
    <t>1.2.5</t>
  </si>
  <si>
    <t>1.2.6</t>
  </si>
  <si>
    <t>2.2.3</t>
  </si>
  <si>
    <t>2.2.4</t>
  </si>
  <si>
    <t>TOTAL ITEM</t>
  </si>
  <si>
    <t>SERVIÇOS INICIAIS</t>
  </si>
  <si>
    <t>74209/001</t>
  </si>
  <si>
    <t>SINAPI</t>
  </si>
  <si>
    <t>74154/001</t>
  </si>
  <si>
    <t>CHP</t>
  </si>
  <si>
    <t>REGULARIZACAO DE SUPERFICIES EM TERRA COM MOTONIVELADORA .</t>
  </si>
  <si>
    <t>ESCAVACAO MECANICA CAMPO ABERTO EM SOLO EXCETO ROCHA ATE 2,00M PROFUNDIDADE.</t>
  </si>
  <si>
    <t>COMPACTACAO MECANICA A 95% DO PROCTOR NORMAL - PAVIMENTACAO URBANA.</t>
  </si>
  <si>
    <t xml:space="preserve">TELHAMENTO COM TELHA ONDULADA DE FIBROCIMENTO E = 6 MM, COM RECOBRIMENTO LATERAL DE 1/4 DE ONDA PARA TELHADO COM INCLINAÇÃO MAIOR QUE 10°, COM ATÉ 2 ÁGUAS, INCLUSO IÇAMENTO. </t>
  </si>
  <si>
    <t>ESCAVACAO, CARGA E TRANSPORTE DE MATERIAL DE 1A CATEGORIA COM TRATOR SOBRE ESTEIRAS 347 HP E CACAMBA 6M3, DMT 50 A 200M.</t>
  </si>
  <si>
    <t xml:space="preserve">TRAMA DE MADEIRA COMPOSTA POR RIPAS, CAIBROS E TERÇAS PARA TELHADOS DE ATÉ 2 ÁGUAS PARA TELHA DE ENCAIXE DE CERÂMICA OU DE CONCRETO, INCLUSO TRANSPORTE VERTICAL. </t>
  </si>
  <si>
    <t>3.2.1</t>
  </si>
  <si>
    <t>3.2.2</t>
  </si>
  <si>
    <t>PREÇO UNITÁRIO</t>
  </si>
  <si>
    <t>PREÇO TOTAL</t>
  </si>
  <si>
    <t>EQUIPAMENTOS</t>
  </si>
  <si>
    <t>Unid.</t>
  </si>
  <si>
    <t>8.1</t>
  </si>
  <si>
    <t>8.1.1</t>
  </si>
  <si>
    <t>8.1.5</t>
  </si>
  <si>
    <t>8.1.6</t>
  </si>
  <si>
    <t>8.1.7</t>
  </si>
  <si>
    <t>8.1.8</t>
  </si>
  <si>
    <t>8.1.10</t>
  </si>
  <si>
    <t>8.1.12</t>
  </si>
  <si>
    <t>8.1.13</t>
  </si>
  <si>
    <t>8.1.14</t>
  </si>
  <si>
    <t>ADAPTADOR PVC SOLDAVEL CURTO COM BOLSA E ROSCA, 50 MM X1 1/2", PARA AGUA FRIA</t>
  </si>
  <si>
    <t>ADAPTADOR PVC SOLDAVEL CURTO COM BOLSA E ROSCA, 60 MM X 2", PARA AGUA FRIA</t>
  </si>
  <si>
    <t>ADAPTADOR PVC SOLDAVEL CURTO COM BOLSA E ROSCA, 85 MM X 3", PARA AGUA FRIA</t>
  </si>
  <si>
    <t>ANEL BORRACHA, PARA TUBO PVC, REDE COLETOR ESGOTO, DN 100 MM (NBR 7362)</t>
  </si>
  <si>
    <t>CURVA DE PVC 90 GRAUS, SOLDAVEL, 85 MM, PARA AGUA FRIA PREDIAL (NBR 5648)</t>
  </si>
  <si>
    <t>JOELHO PVC, SOLDAVEL, 90 GRAUS, 60 MM, PARA AGUA FRIA PREDIAL</t>
  </si>
  <si>
    <t>JOELHO PVC, SOLDAVEL, 90 GRAUS, 85 MM, PARA AGUA FRIA PREDIAL</t>
  </si>
  <si>
    <t>LUVA SIMPLES, PVC, SOLDAVEL, DN 100 MM, SERIE NORMAL, PARA ESGOTO PREDIAL</t>
  </si>
  <si>
    <t>TE SOLDAVEL, PVC, 90 GRAUS, 85 MM, PARA AGUA FRIA PREDIAL (NBR 5648)</t>
  </si>
  <si>
    <t>TE DE REDUCAO, PVC, SOLDAVEL, 90 GRAUS, 85 MM X 60 MM, PARA AGUA FRIA PREDIAL</t>
  </si>
  <si>
    <t>ADESIVO PLASTICO PARA PVC, FRASCO COM 850 GR</t>
  </si>
  <si>
    <t>FITA VEDA ROSCA EM ROLOS DE 18 MM X 50 M (L X C)</t>
  </si>
  <si>
    <t>LIXA D'AGUA EM FOLHA, GRAO 100</t>
  </si>
  <si>
    <t>PASTA LUBRIFICANTE PARA TUBOS E CONEXOES COM JUNTA ELASTICA (USO EM PVC, ACO,POLIETILENO E OUTROS) ( DE *400* G)</t>
  </si>
  <si>
    <t>SOLVENTE DILUENTE A BASE DE AGUARRAS</t>
  </si>
  <si>
    <t>PINCEL CHATO (TRINCHA) CERDAS GRIS 1.1/2 " (38 MM)</t>
  </si>
  <si>
    <t>REDUTOR TIPO THINNER PARA ACABAMENTO</t>
  </si>
  <si>
    <t>TINTA ESMALTE SINTETICO PREMIUM FOSCO</t>
  </si>
  <si>
    <t>Fita crepe - 25mmx50m</t>
  </si>
  <si>
    <t>Metro</t>
  </si>
  <si>
    <t>L</t>
  </si>
  <si>
    <t>9.1</t>
  </si>
  <si>
    <t>9.1.1</t>
  </si>
  <si>
    <t>9.1.2</t>
  </si>
  <si>
    <t>9.1.4</t>
  </si>
  <si>
    <t>9.1.5</t>
  </si>
  <si>
    <t>9.1.6</t>
  </si>
  <si>
    <t>9.1.7</t>
  </si>
  <si>
    <t>9.1.8</t>
  </si>
  <si>
    <t>9.1.10</t>
  </si>
  <si>
    <t>9.1.11</t>
  </si>
  <si>
    <t>9.1.12</t>
  </si>
  <si>
    <t>9.1.13</t>
  </si>
  <si>
    <t>9.1.15</t>
  </si>
  <si>
    <t>9.1.16</t>
  </si>
  <si>
    <t>9.1.17</t>
  </si>
  <si>
    <t>9.1.18</t>
  </si>
  <si>
    <t>9.1.19</t>
  </si>
  <si>
    <t>9.1.20</t>
  </si>
  <si>
    <t>9.1.22</t>
  </si>
  <si>
    <t>9.1.23</t>
  </si>
  <si>
    <t>9.1.24</t>
  </si>
  <si>
    <t>9.1.25</t>
  </si>
  <si>
    <t>9.1.26</t>
  </si>
  <si>
    <t>9.1.27</t>
  </si>
  <si>
    <t>9.1.28</t>
  </si>
  <si>
    <t>9.1.29</t>
  </si>
  <si>
    <t>9.1.30</t>
  </si>
  <si>
    <t>9.1.31</t>
  </si>
  <si>
    <t>9.1.32</t>
  </si>
  <si>
    <t>9.1.33</t>
  </si>
  <si>
    <t>9.1.34</t>
  </si>
  <si>
    <t>9.1.35</t>
  </si>
  <si>
    <t>9.1.36</t>
  </si>
  <si>
    <t>9.1.37</t>
  </si>
  <si>
    <t>9.1.38</t>
  </si>
  <si>
    <t>9.1.39</t>
  </si>
  <si>
    <t>9.1.40</t>
  </si>
  <si>
    <t>9.1.41</t>
  </si>
  <si>
    <t>9.1.42</t>
  </si>
  <si>
    <t>9.1.43</t>
  </si>
  <si>
    <t>9.1.44</t>
  </si>
  <si>
    <t>9.1.45</t>
  </si>
  <si>
    <t>9.1.46</t>
  </si>
  <si>
    <t>9.1.47</t>
  </si>
  <si>
    <t>9.1.48</t>
  </si>
  <si>
    <t>9.1.49</t>
  </si>
  <si>
    <t>9.1.50</t>
  </si>
  <si>
    <t>9.1.51</t>
  </si>
  <si>
    <t>9.1.52</t>
  </si>
  <si>
    <t>9.1.53</t>
  </si>
  <si>
    <t>9.1.54</t>
  </si>
  <si>
    <t>9.1.55</t>
  </si>
  <si>
    <t>9.1.56</t>
  </si>
  <si>
    <t>9.1.57</t>
  </si>
  <si>
    <t>9.1.58</t>
  </si>
  <si>
    <t>9.1.59</t>
  </si>
  <si>
    <t>9.1.60</t>
  </si>
  <si>
    <t>9.1.61</t>
  </si>
  <si>
    <t>9.1.62</t>
  </si>
  <si>
    <t>9.1.63</t>
  </si>
  <si>
    <t>9.1.64</t>
  </si>
  <si>
    <t>9.1.65</t>
  </si>
  <si>
    <t>9.1.66</t>
  </si>
  <si>
    <t>9.1.67</t>
  </si>
  <si>
    <t>9.1.68</t>
  </si>
  <si>
    <t>9.1.69</t>
  </si>
  <si>
    <t>9.1.70</t>
  </si>
  <si>
    <t>9.1.71</t>
  </si>
  <si>
    <t>9.1.72</t>
  </si>
  <si>
    <t>9.1.73</t>
  </si>
  <si>
    <t>9.1.74</t>
  </si>
  <si>
    <t>9.1.75</t>
  </si>
  <si>
    <t>9.1.76</t>
  </si>
  <si>
    <t>SERVIÇOS</t>
  </si>
  <si>
    <t>10.1</t>
  </si>
  <si>
    <t>Anotação de Responsabilidade Técnica de execução de obras civil e instalação de ETE</t>
  </si>
  <si>
    <t>Entrega</t>
  </si>
  <si>
    <t>Hr</t>
  </si>
  <si>
    <t>Hora</t>
  </si>
  <si>
    <t>10.1.1</t>
  </si>
  <si>
    <t>PEU</t>
  </si>
  <si>
    <t>CREA</t>
  </si>
  <si>
    <t xml:space="preserve">MOVIMENTAÇÃO DE SOLO </t>
  </si>
  <si>
    <t xml:space="preserve">  FUNDAÇÃO</t>
  </si>
  <si>
    <t xml:space="preserve">ROLO DE ESPUMA POLIESTER 23 CM (SEM CABO) </t>
  </si>
  <si>
    <t xml:space="preserve">CHAVE DE BOIA AUTOMÁTICA SUPERIOR 10A/250V - FORNECIMENTO E INSTALACAO </t>
  </si>
  <si>
    <t>8.1.11</t>
  </si>
  <si>
    <t>9.1.3</t>
  </si>
  <si>
    <t>9.1.9</t>
  </si>
  <si>
    <t>9.1.14</t>
  </si>
  <si>
    <t>9.1.21</t>
  </si>
  <si>
    <t>IDENTIFICAÇÃO DOS FORNECEDORES</t>
  </si>
  <si>
    <t>PREÇO DOS FORNECEDORES</t>
  </si>
  <si>
    <t>DALPOZ</t>
  </si>
  <si>
    <t>KSB</t>
  </si>
  <si>
    <t>UNIFIBRA</t>
  </si>
  <si>
    <t>ANEL BORRACHA, PARA TUBO PVC, REDE COLETOR ESGOTO, DN 200 MM (NBR 7362)</t>
  </si>
  <si>
    <t>CURVA DE PVC 90 GRAUS, SOLDAVEL, 50 MM, PARA AGUA FRIA PREDIAL (NBR 5648)</t>
  </si>
  <si>
    <t>NIPEL PVC, ROSCAVEL, 1 1/2", AGUA FRIA PREDIAL</t>
  </si>
  <si>
    <t>CAMINHÃO TRUCADO (C/ TERCEIRO EIXO) ELETRÔNICO - POTÊNCIA 231CV - PBT 22000KG - DIST. ENTRE EIXOS 5170 MM - INCLUI CARROCERIA FIXA ABERTA DE MADEIRA - CHP DIURNO. AF_06/2015 (raio de 400km)</t>
  </si>
  <si>
    <t>MUNCKMAQ</t>
  </si>
  <si>
    <t>INDISPONÍVEL</t>
  </si>
  <si>
    <t>Frete dos reatores</t>
  </si>
  <si>
    <t>9.1.77</t>
  </si>
  <si>
    <t>9.1.78</t>
  </si>
  <si>
    <t>9.1.79</t>
  </si>
  <si>
    <t>9.1.80</t>
  </si>
  <si>
    <t>MATERIAIS PARA INSTALAÇÃO MECÂNICA E HIDRÁULICA</t>
  </si>
  <si>
    <t>Comercial</t>
  </si>
  <si>
    <t>CÓDIGO DO SERVIÇO</t>
  </si>
  <si>
    <t>FONTE</t>
  </si>
  <si>
    <t>UNID.</t>
  </si>
  <si>
    <t>QTD</t>
  </si>
  <si>
    <t>Forn. 1</t>
  </si>
  <si>
    <t>Forn. 2</t>
  </si>
  <si>
    <t>Forn. 3</t>
  </si>
  <si>
    <t>INDISP.</t>
  </si>
  <si>
    <t>Proponente</t>
  </si>
  <si>
    <t>Empreendimento</t>
  </si>
  <si>
    <t>Município</t>
  </si>
  <si>
    <t>UF</t>
  </si>
  <si>
    <t>Data base</t>
  </si>
  <si>
    <t>Responsável</t>
  </si>
  <si>
    <t>Assinatura</t>
  </si>
  <si>
    <t>SÃO PAULO</t>
  </si>
  <si>
    <t>ART</t>
  </si>
  <si>
    <t>EMERSON MARÇAL JÚNIOR</t>
  </si>
  <si>
    <t>ITEM</t>
  </si>
  <si>
    <t>VALOR S/ BDI</t>
  </si>
  <si>
    <t>VALOR C/ BDI</t>
  </si>
  <si>
    <t>TOTAL</t>
  </si>
  <si>
    <t>Hora Engenheiro Civil Pleno</t>
  </si>
  <si>
    <t>KG</t>
  </si>
  <si>
    <t xml:space="preserve">CORTE E DOBRA DE AÇO CA-50, DIÂMETRO DE 10.0 MM, UTILIZADO EM ESTRUTURAS DIVERSAS, EXCETO LAJES. </t>
  </si>
  <si>
    <t>SUB TOTAL COMPOSIÇÕES</t>
  </si>
  <si>
    <t>BDI COMPOSIÇÕES (conforme planilha em anexo)</t>
  </si>
  <si>
    <t>SUB TOTAL COMPOSIÇÕES COM BDI</t>
  </si>
  <si>
    <t>SUB TOTAL SERVIÇOS</t>
  </si>
  <si>
    <t>SUB TOTAL SERVIÇOS COM BDI</t>
  </si>
  <si>
    <t>TOTAL GERAL COMPOSIÇÃO MAIS SERVIÇO COM BDI</t>
  </si>
  <si>
    <t>CARGA, MANOBRAS E DESCARGA DE MISTURAS DE SOLOS E AGREGADOS, COM CAMINHAO BASCULANTE 6 M3, DESCARGA EM DISTRIBUIDOR</t>
  </si>
  <si>
    <t>HIDRÁULICA DE OBRA CIVIL</t>
  </si>
  <si>
    <t>ELÉTRICA DE OBRA CIVIL</t>
  </si>
  <si>
    <t>INSTALADOR DE TUBULACOES (TUBOS/EQUIPAMENTOS) (MENSALISTA) (CALCULO PARA 3 INSTALADORES TOTALIZANDO OS MESES)</t>
  </si>
  <si>
    <t>ELETRICISTA (MENSALISTA) (CALCULO PARA 2 INSTALADORES TOTALIZANDO OS MESES)</t>
  </si>
  <si>
    <t>INSTALAÇÃO MECÂNICA E HIDRÁULICA</t>
  </si>
  <si>
    <t>10.2</t>
  </si>
  <si>
    <t>INSTALAÇÃO ELÉTRICA</t>
  </si>
  <si>
    <t>10.2.1</t>
  </si>
  <si>
    <t>ENTREGA E VERTICALIZAÇÃO DOS REATORES</t>
  </si>
  <si>
    <t>10.3</t>
  </si>
  <si>
    <t>10.3.1</t>
  </si>
  <si>
    <t>10.3.2</t>
  </si>
  <si>
    <t>10.3.3</t>
  </si>
  <si>
    <t>GERENCIAMENTO E SUPERVISÃO</t>
  </si>
  <si>
    <t>10.4</t>
  </si>
  <si>
    <t>10.4.1</t>
  </si>
  <si>
    <t>10.4.2</t>
  </si>
  <si>
    <t>10.5</t>
  </si>
  <si>
    <t>TESTES HIDRAULICOS E ELÉTRICOS</t>
  </si>
  <si>
    <t>10.5.1</t>
  </si>
  <si>
    <t>10.5.2</t>
  </si>
  <si>
    <t>BASE DE ALVENARIA DOS REATORES</t>
  </si>
  <si>
    <t>BASE PARA PAVIMENTACAO COM BRITA GRADUADA, INCLUSIVE COMPACTACAO. (BASE/FUNDO)</t>
  </si>
  <si>
    <t>CONCRETAGEM DE VIGAS E LAJES, FCK=20 MPA, PARA LAJES MACIÇAS OU NERVURADAS COM USO DE BOMBA EM EDIFICAÇÃO COM ÁREA MÉDIA DE LAJES MENOR OU IGUAL A 20 M² - LANÇAMENTO, ADENSAMENTO E ACABAMENTO. (BASE/FUNDO)</t>
  </si>
  <si>
    <t>ALVENARIA (BASE E PAREDE)</t>
  </si>
  <si>
    <t>MATERIAIS (ENTREGA DOS MATERIAIS)</t>
  </si>
  <si>
    <t>cm ou m</t>
  </si>
  <si>
    <t>LOCACAO DE CONTAINER 2,30 X 4,30 M, ALT. 2,50 M, PARA SANITARIO, COM 3 BACIAS, 4 CHUVEIROS, 1 LAVATORIO E 1 MICTORIO</t>
  </si>
  <si>
    <t>REGULARIZACAO DE SUPERFICIES EM TERRA COM MOTONIVELADORA</t>
  </si>
  <si>
    <t>73822/2</t>
  </si>
  <si>
    <t>CHAPA DE MADEIRA COMPENSADA RESINADA PARA FORMA DE CONCRETO, DE *2,2 X 1,1* M,E = 20 MM</t>
  </si>
  <si>
    <t>CONCRETAGEM DE RADIER, PISO OU LAJE SOBRE SOLO, FCK 30 MPA, PARA ESPESSURA DE 20 CM - LANÇAMENTO, ADENSAMENTO E ACABAMENTO. AF_09/2017</t>
  </si>
  <si>
    <t>EXECUÇÃO E COMPACTAÇÃO DE BASE E OU SUB BASE COM BRITA GRADUADA SIMPLES - EXCLUSIVE CARGA E TRANSPORTE. AF_09/2017</t>
  </si>
  <si>
    <t>CURVA DE PVC 90 GRAUS, SOLDAVEL, 110 MM, PARA AGUA FRIA PREDIAL (NBR 5648)</t>
  </si>
  <si>
    <t>LUVA PVC SOLDAVEL, 110 MM, PARA AGUA FRIA PREDIAL</t>
  </si>
  <si>
    <t>TE SOLDAVEL, PVC, 90 GRAUS, 110 MM, PARA AGUA FRIA PREDIAL (NBR 5648)</t>
  </si>
  <si>
    <t>TUBO PVC, SOLDAVEL, DN 110 MM, AGUA FRIA (NBR-5648)</t>
  </si>
  <si>
    <t>TUBO PVC, SOLDAVEL, DN 85 MM, AGUA FRIA (NBR-5648)</t>
  </si>
  <si>
    <t>UNIAO PVC, SOLDAVEL, 110 MM, PARA AGUA FRIA PREDIAL</t>
  </si>
  <si>
    <t>BUCHA DE REDUCAO DE PVC, SOLDAVEL, CURTA, COM 110 X 85 MM, PARA AGUA FRIA PREDIAL</t>
  </si>
  <si>
    <t>SAECIL</t>
  </si>
  <si>
    <t>ESTAÇÃO DE TRATAMENTO DE ÁGUA</t>
  </si>
  <si>
    <t>LEME</t>
  </si>
  <si>
    <t>LOCACAO DE CONTAINER 2,30 X 6,00 M, ALT. 2,50 M, PARA ESCRITORIO, SEM DIVISORIAS INTERNAS E SEM SANITARIO</t>
  </si>
  <si>
    <t>LIMPEZA SUPERFICIAL DA CAMADA VEGETAL EM JAZIDA</t>
  </si>
  <si>
    <t>73903/1</t>
  </si>
  <si>
    <t>LIMPEZA E ARREMATES FINAIS</t>
  </si>
  <si>
    <t>REATERRO MANUAL DE VALAS COM COMPACTAÇÃO MECANIZADA. AF_04/2016</t>
  </si>
  <si>
    <t>ORÇAMENTO PROJETO DE DESÁGUE DE LODO DE ETA</t>
  </si>
  <si>
    <t xml:space="preserve">MATERIAIS PARA INSTALAÇÃO MECÂNICA, ELÉTRICA E HIDRÁULICA </t>
  </si>
  <si>
    <t>BOMBA DE LODO DO ADENSADOR/CLARIFICADOR 
Vazão: 4,66 m³/h
Concentração de sólidos: 20 g/L
Altura:13 mca</t>
  </si>
  <si>
    <t>BOMBA DE RECALQUE DO TRV
Vazão: 45 m³/h
Concentração de sólidos: 6,2 g/L
Altura: 17,5 mca</t>
  </si>
  <si>
    <t>MISTURADOR ESTÁTICO - 6” com corpo e conexões em Aço Inox 316 SCH 40, 03 elementos internos fixos em Aço Inox 316. Com um ponto de injeção de 1”. Conexões em Flange Sobreposto</t>
  </si>
  <si>
    <t>PAINEL ELÉTRICO (Conforme descritivo)</t>
  </si>
  <si>
    <t>PREPARADOR DE POLÍMERO</t>
  </si>
  <si>
    <t xml:space="preserve">BOMBA DE RECALQUE DA ÁGUA CLARIFICADA
Vazão: 92 m³/h
 Altura: 5 mca. </t>
  </si>
  <si>
    <t>CAIXA D'ÁGUA 25.000 L</t>
  </si>
  <si>
    <t>SKID (DECANTER CENTRÍFUGO)</t>
  </si>
  <si>
    <t>REMOVEDOR DE LODO</t>
  </si>
  <si>
    <t>3.1</t>
  </si>
  <si>
    <t>3.2</t>
  </si>
  <si>
    <t>7.1</t>
  </si>
  <si>
    <t>JE-FIBER</t>
  </si>
  <si>
    <t>Schneider</t>
  </si>
  <si>
    <t>Xylem/Flygt</t>
  </si>
  <si>
    <t>Biosis</t>
  </si>
  <si>
    <t>Futura</t>
  </si>
  <si>
    <t>Vibropac</t>
  </si>
  <si>
    <t>Caixa Forte</t>
  </si>
  <si>
    <t>Bakof</t>
  </si>
  <si>
    <t>Pieralise</t>
  </si>
  <si>
    <t>Andritz</t>
  </si>
  <si>
    <t>ADAPTADOR PVC SOLDAVEL CURTO COM BOLSA E ROSCA, 75 MM X 2 1/2", PARA AGUA FRIA</t>
  </si>
  <si>
    <t>BUCHA DE REDUCAO DE PVC, SOLDAVEL, CURTA, COM 60 X 50 MM, PARA AGUA FRIA PREDIAL</t>
  </si>
  <si>
    <t>BUCHA DE REDUCAO DE PVC, SOLDAVEL, LONGA, COM 110 X 75 MM, PARA AGUA FRIA PREDIAL</t>
  </si>
  <si>
    <t>BUCHA DE REDUCAO DE PVC, SOLDAVEL, LONGA, COM 75 X 50 MM, PARA AGUA FRIA PREDIAL</t>
  </si>
  <si>
    <t>BUCHA DE REDUCAO DE PVC, SOLDAVEL, LONGA, COM 85 X 60 MM, PARA AGUA FRIA  PREDIAL</t>
  </si>
  <si>
    <t>JOELHO PVC, SOLDAVEL, PB, 90 GRAUS, DN 100 MM, PARA ESGOTO PREDIAL</t>
  </si>
  <si>
    <t>TUBO PVC, SERIE R, DN 100 MM, PARA ESGOTO OU AGUAS PLUVIAIS PREDIAL (NBR 5688)</t>
  </si>
  <si>
    <t>TUBO PVC, SOLDAVEL, DN 50 MM, PARA AGUA FRIA (NBR-5648)</t>
  </si>
  <si>
    <t>TUBO PVC, SOLDAVEL, DN 75 MM, AGUA FRIA (NBR-5648)</t>
  </si>
  <si>
    <t>UNIAO PVC, SOLDAVEL, 75 MM, PARA AGUA FRIA PREDIAL</t>
  </si>
  <si>
    <t>UNIAO PVC, SOLDAVEL, 85 MM, PARA AGUA FRIA PREDIAL</t>
  </si>
  <si>
    <t>VALVULA DE RETENCAO HORIZONTAL, DE BRONZE (PN-25), 4", 400 PSI, TAMPA DE PORCA DE UNIAO, EXTREMIDADES COM ROSCA</t>
  </si>
  <si>
    <t>CURVA 90° - DN140/DE160 - PBS SOLDÁVEL</t>
  </si>
  <si>
    <t>FLANGE LIVRE COM FUROS PARA TUBOS PBS - DN140/DE160 - PBS SOLDÁVEL</t>
  </si>
  <si>
    <t>JOELHO 90° - 200MM - PVC SOLDÁVEL ESGOTO SÉRIE NORMAL</t>
  </si>
  <si>
    <t>JOELHO 90° PBS - DN140/DE160 - PBS SOLDÁVEL ÁGUA FRIA</t>
  </si>
  <si>
    <t>LUVA  SIMPLES - 200MM- PVC SOLDÁVEL ESGOTO SÉRIE NORMAL</t>
  </si>
  <si>
    <t>LUVA DE REDUÇÃO PBS - DN140/DE160 X DN110/DE110 - PBS SOLDÁVEL ÁGUA FRIA</t>
  </si>
  <si>
    <t>NÍPEL ROSCÁVEL - 3" - PVC  ROSCÁVEL ÁGUA FRIA</t>
  </si>
  <si>
    <t>NÍPEL ROSCÁVEL - 4" - PVC ROSCÁVEL ÁGUA FRIA</t>
  </si>
  <si>
    <t>TÊ - 100MM- PVC SOLDÁVEL ESGOTO SÉRIE NORMAL</t>
  </si>
  <si>
    <t>TÊ - 200 X 200MM- PVC SOLDÁVEL ESGOTO SÉRIE NORMAL</t>
  </si>
  <si>
    <t>TÊ DE REDUÇÃO PBS - DN140/DE160 X DN110/DE110 - PBS SOLDÁVEL</t>
  </si>
  <si>
    <t>TÊ PBS - DN140/DE160 - PBS SOLDÁVEL ÁGUA FRIA</t>
  </si>
  <si>
    <t>TUBO - 200MM - PVC SOLDÁVEL ESGOTO SÉRIE NORMAL</t>
  </si>
  <si>
    <t>TUBO PBS CLASSE 15 - DN140/DE160 - PBS SOLDÁVEL ÁGUA FRIA</t>
  </si>
  <si>
    <t>VÁLVULA BORBOLETA TIPO WAFER PN10 CLASSE 150 - 6" - FERRO FUNDIDO</t>
  </si>
  <si>
    <t>VÁLVULA DE GAVETA COM HASTE NÃO ASCENDENTE INDUSTRIAL - 1.1/2" PN20 - METÁLICO</t>
  </si>
  <si>
    <t>VÁLVULA DE GAVETA COM HASTE NÃO ASCENDENTE INDUSTRIAL - 2" PN20 - METÁLICO</t>
  </si>
  <si>
    <t>VÁLVULA DE GAVETA COM HASTE NÃO ASCENDENTE INDUSTRIAL - 3" PN20 - METÁLICO</t>
  </si>
  <si>
    <t>VÁLVULA DE GAVETA COM HASTE NÃO ASCENDENTE INDUSTRIAL - 4" PN20 - METÁLICO</t>
  </si>
  <si>
    <t>VÁLVULA DE RETENÇÃO DUPLA PORTINHOLA TIPO WAFER CLASSE 150 - 6" - FERRO FUNDIDO</t>
  </si>
  <si>
    <t>ADAPTADOR SOLDÁVEL CURTO COM BOLSA E ROSCA - 110MM X 4" - PVC ÁGUA FRIA SOLDÁVEL</t>
  </si>
  <si>
    <t>ABRAÇADEIRA D COM CUNHA Ø2"</t>
  </si>
  <si>
    <t>CABO DE COBRE NÚ #16,00</t>
  </si>
  <si>
    <t>CABO FLEXÍVEL 0,6/1KV 4#10,0 ANTICHAMA</t>
  </si>
  <si>
    <t>CABO FLEXÍVEL 0,6/1KV 4#16,0 ANTICHAMA</t>
  </si>
  <si>
    <t>CABO FLEXÍVEL 0,6/1KV 4#2,50 ANTICHAMA</t>
  </si>
  <si>
    <t>CABO FLEXÍVEL 0,6/1KV 4#35,0 ANTICHAMA</t>
  </si>
  <si>
    <t>CABO FLEXÍVEL 0,6/1KV 4#4,00 ANTICHAMA</t>
  </si>
  <si>
    <t>CABO FLEXÍVEL 750V 2#2,50 ANTICHAMA</t>
  </si>
  <si>
    <t>CAIXA DE INSPEÇÃO COM TAMPA EM AÇO, 300X250MM TEL-555 + TEL-506</t>
  </si>
  <si>
    <t>CAIXA DE PASSAGEM DE ALUMÍNIO 200x200x100mm COM TAMPA</t>
  </si>
  <si>
    <t>CONECTOR MACHO REUSÁVEL 3/4"</t>
  </si>
  <si>
    <t>CONECTOR PARA CABO COM HASTE DE ATERRAMENTO TEL-0580</t>
  </si>
  <si>
    <t>CURVA 90º GALVANIZADA A FOGO Ø2"</t>
  </si>
  <si>
    <t>CURVA 90º GALVANIZADA A FOGO Ø3/4"</t>
  </si>
  <si>
    <t>ELETROCALHA GALVANIZADA A FOGO 100X50X3000MM</t>
  </si>
  <si>
    <t>ELETRODUTO FLEXÍVEL ALUMÍNIO REVESTIDO Ø3/4"</t>
  </si>
  <si>
    <t>ELETRODUTO FLEXÍVEL REFORÇADO PVC Ø2"</t>
  </si>
  <si>
    <t>ELETRODUTO GALVANIZADO A FOGO Ø2" – SEMI PESADO NBR5624</t>
  </si>
  <si>
    <t>ELETRODUTO GALVANIZADO A FOGO Ø3/4" – SEMI PESADO NBR5624</t>
  </si>
  <si>
    <t>FITA ISOLANTE DE ALTA FUSÃO</t>
  </si>
  <si>
    <t>FITA ISOLANTE PRETA</t>
  </si>
  <si>
    <t>HASTE P/ ATERRAMENTO ALTA CAMADA1/2X2,40</t>
  </si>
  <si>
    <t>LUVA DE EMENDA COM ROSCA Ø2"</t>
  </si>
  <si>
    <t>TERMINAL DE COMPRESSÃO #16,00 TEL-5125</t>
  </si>
  <si>
    <t>TERMINAL TUBULAR PARA CABO 10,0MM</t>
  </si>
  <si>
    <t>TERMINAL TUBULAR PARA CABO 16,0MM</t>
  </si>
  <si>
    <t>TERMINAL TUBULAR PARA CABO 2,50MM</t>
  </si>
  <si>
    <t>TERMINAL TUBULAR PARA CABO 35,0MM</t>
  </si>
  <si>
    <t>TERMINAL TUBULAR PARA CABO 4,00MM</t>
  </si>
  <si>
    <t xml:space="preserve">NERO </t>
  </si>
  <si>
    <t xml:space="preserve">Schedule </t>
  </si>
  <si>
    <t>Paris</t>
  </si>
  <si>
    <t>Lumi Eletricidade</t>
  </si>
  <si>
    <t>KR</t>
  </si>
  <si>
    <t>8.1.2</t>
  </si>
  <si>
    <t>8.1.3</t>
  </si>
  <si>
    <t>8.1.4</t>
  </si>
  <si>
    <t>8.1.9</t>
  </si>
  <si>
    <t>Loop Equipamentos</t>
  </si>
  <si>
    <t>Grundfus</t>
  </si>
  <si>
    <t>Snatural</t>
  </si>
  <si>
    <t>REATOR ADENSADOR/CLARIFICADOR DIÂMETRO 4,42 M - H=5,2M - EM PRFV, COM ESCADA E PASSARELA</t>
  </si>
  <si>
    <t>REATOR TLA - DIÂMETRO 4,42M - H=12M - EM PRFV, COM ESCADA E PASSARELA</t>
  </si>
  <si>
    <t>Stringal</t>
  </si>
  <si>
    <t>ENETHAN</t>
  </si>
  <si>
    <t>NIVELAMENTO DOS DECANTADORES</t>
  </si>
  <si>
    <t>DECANTADORES</t>
  </si>
  <si>
    <t>TUBO PBS CLASSE 20 - DN100/DE110 - PBS SOLDÁVEL ÁGUA FRIA</t>
  </si>
  <si>
    <t>GNT Transporte</t>
  </si>
  <si>
    <t>TWA Transporte</t>
  </si>
  <si>
    <t>TRANSMUNCK</t>
  </si>
  <si>
    <t>Grupo Lago</t>
  </si>
  <si>
    <t>Descarga e verticalização de reatores com munck e guindaste</t>
  </si>
  <si>
    <t xml:space="preserve">SINAPI 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</si>
  <si>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</si>
  <si>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</si>
  <si>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</si>
  <si>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</si>
  <si>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</si>
  <si>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</si>
  <si>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</si>
  <si>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</si>
  <si>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</si>
  <si>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</si>
  <si>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</si>
  <si>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9.1.81</t>
  </si>
  <si>
    <t>9.1.82</t>
  </si>
  <si>
    <t>9.1.83</t>
  </si>
  <si>
    <t>DISCRIMINAÇÃO DE ATIVIDADES</t>
  </si>
  <si>
    <t>MOVIMENTAÇÃO DE SOLO</t>
  </si>
  <si>
    <t>CASA DE OPERAÇÃO</t>
  </si>
  <si>
    <t>HIDRAULICA DE OBRA CIVIL</t>
  </si>
  <si>
    <t>ELETRICA DE OBRA CIVIL - INFRA</t>
  </si>
  <si>
    <t>SERVIÇOS COMPLEMENTARES</t>
  </si>
  <si>
    <t>FABRICAÇÃO DOS EQUIPAMENTOS</t>
  </si>
  <si>
    <t>ENTREGA DOS MATERIAIS</t>
  </si>
  <si>
    <t>INSTALAÇÃO MECÂNICA, HIDRÁULICA E ELÉTRICA</t>
  </si>
  <si>
    <t>ENTREGA E VERTICALIZAÇÃO DOS REATORES, FRETE E LOGISTICAS</t>
  </si>
  <si>
    <t xml:space="preserve">BDI SERVIÇOS </t>
  </si>
  <si>
    <t>Lunardi</t>
  </si>
  <si>
    <t>HIGRA</t>
  </si>
  <si>
    <t>SULZER</t>
  </si>
  <si>
    <t>Grancaixa</t>
  </si>
  <si>
    <t>MISTURADOR SUBMERSO - TRV</t>
  </si>
  <si>
    <t>MISTURADOR SUBMERSO -TLA</t>
  </si>
  <si>
    <t>RESUMO ITEM TOTAL</t>
  </si>
  <si>
    <t>QTD.</t>
  </si>
  <si>
    <t>VALOR DO CUSTO</t>
  </si>
  <si>
    <t>VALOR CUSTO TOTAL</t>
  </si>
  <si>
    <t>OBRA CIVIL EM GERAL</t>
  </si>
  <si>
    <t>BOMBA DE RECALQUE DA ÁGUA CLARIFICADA</t>
  </si>
  <si>
    <t>MATERIAL HIDRÁULICO E ELÉTRICO</t>
  </si>
  <si>
    <t>FRETE E LOGÍSTICAS</t>
  </si>
  <si>
    <t>INSTALAÇÕES HIDRÁULICA/ELÉTRICA</t>
  </si>
  <si>
    <t>REATOR ADENSADOR/CLARIFICADOR</t>
  </si>
  <si>
    <t xml:space="preserve">REATOR TLA </t>
  </si>
  <si>
    <t xml:space="preserve">BOMBA DE LODO DO ADENSADOR/CLARIFICADOR 
</t>
  </si>
  <si>
    <t xml:space="preserve">BOMBA DE RECALQUE DO TRV
</t>
  </si>
  <si>
    <t xml:space="preserve">MISTURADOR ESTÁTICO </t>
  </si>
  <si>
    <t>VALOR COM BDI</t>
  </si>
  <si>
    <t>Total dos custos com BDI</t>
  </si>
  <si>
    <t>28027230191435639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</si>
</sst>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&quot;R$&quot;\ #,##0.00"/>
    <numFmt numFmtId="169" formatCode="0.0"/>
    <numFmt numFmtId="170" formatCode="_(&quot;Cr$&quot;* #,##0.00_);_(&quot;Cr$&quot;* \(#,##0.00\);_(&quot;Cr$&quot;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sz val="14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2"/>
      <name val="Calibri"/>
      <family val="2"/>
      <scheme val="minor"/>
    </font>
    <font>
      <b/>
      <sz val="20"/>
      <name val="Verdana"/>
      <family val="2"/>
    </font>
    <font>
      <sz val="16"/>
      <name val="Verdana"/>
      <family val="2"/>
    </font>
    <font>
      <sz val="10"/>
      <name val="Arial"/>
      <family val="2"/>
    </font>
    <font>
      <sz val="20"/>
      <name val="Verdan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1EAF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6"/>
      </left>
      <right style="medium">
        <color indexed="56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6"/>
      </left>
      <right style="medium">
        <color indexed="56"/>
      </right>
      <top style="thin">
        <color indexed="8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64"/>
      </bottom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 style="thin">
        <color indexed="64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1" fontId="5" fillId="0" borderId="0" xfId="0" applyNumberFormat="1" applyFont="1" applyProtection="1"/>
    <xf numFmtId="169" fontId="4" fillId="0" borderId="0" xfId="0" applyNumberFormat="1" applyFont="1" applyProtection="1"/>
    <xf numFmtId="168" fontId="4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4" fillId="0" borderId="7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wrapText="1"/>
    </xf>
    <xf numFmtId="0" fontId="4" fillId="0" borderId="5" xfId="0" applyFont="1" applyBorder="1" applyProtection="1"/>
    <xf numFmtId="1" fontId="5" fillId="0" borderId="5" xfId="0" applyNumberFormat="1" applyFont="1" applyBorder="1" applyProtection="1"/>
    <xf numFmtId="168" fontId="4" fillId="0" borderId="5" xfId="0" applyNumberFormat="1" applyFont="1" applyBorder="1" applyProtection="1"/>
    <xf numFmtId="0" fontId="4" fillId="0" borderId="6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8" xfId="0" applyFont="1" applyBorder="1" applyProtection="1"/>
    <xf numFmtId="0" fontId="7" fillId="0" borderId="9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/>
    </xf>
    <xf numFmtId="168" fontId="9" fillId="0" borderId="2" xfId="0" applyNumberFormat="1" applyFont="1" applyBorder="1" applyAlignment="1" applyProtection="1">
      <alignment horizontal="center" vertical="center"/>
    </xf>
    <xf numFmtId="0" fontId="4" fillId="0" borderId="9" xfId="0" applyFont="1" applyBorder="1" applyProtection="1"/>
    <xf numFmtId="0" fontId="5" fillId="0" borderId="8" xfId="0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1" fontId="7" fillId="2" borderId="1" xfId="2" applyNumberFormat="1" applyFont="1" applyFill="1" applyBorder="1" applyAlignment="1" applyProtection="1">
      <alignment horizontal="center" vertical="center"/>
    </xf>
    <xf numFmtId="168" fontId="7" fillId="2" borderId="1" xfId="2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168" fontId="7" fillId="3" borderId="4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168" fontId="7" fillId="0" borderId="4" xfId="0" applyNumberFormat="1" applyFont="1" applyFill="1" applyBorder="1" applyAlignment="1" applyProtection="1">
      <alignment vertical="center"/>
    </xf>
    <xf numFmtId="0" fontId="11" fillId="0" borderId="8" xfId="0" applyFont="1" applyBorder="1" applyAlignment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" fontId="5" fillId="0" borderId="1" xfId="1" applyNumberFormat="1" applyFont="1" applyFill="1" applyBorder="1" applyAlignment="1" applyProtection="1">
      <alignment horizontal="center" vertical="center"/>
    </xf>
    <xf numFmtId="169" fontId="5" fillId="0" borderId="1" xfId="1" applyNumberFormat="1" applyFont="1" applyFill="1" applyBorder="1" applyAlignment="1" applyProtection="1">
      <alignment horizontal="center" vertical="center"/>
    </xf>
    <xf numFmtId="168" fontId="5" fillId="0" borderId="1" xfId="1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/>
    <xf numFmtId="0" fontId="11" fillId="0" borderId="0" xfId="0" applyFont="1" applyAlignment="1" applyProtection="1"/>
    <xf numFmtId="0" fontId="11" fillId="0" borderId="9" xfId="0" applyFont="1" applyFill="1" applyBorder="1" applyAlignment="1" applyProtection="1"/>
    <xf numFmtId="167" fontId="11" fillId="0" borderId="0" xfId="1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 wrapText="1"/>
    </xf>
    <xf numFmtId="168" fontId="7" fillId="3" borderId="1" xfId="1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/>
    <xf numFmtId="0" fontId="11" fillId="0" borderId="0" xfId="0" applyFont="1" applyFill="1" applyAlignment="1" applyProtection="1"/>
    <xf numFmtId="1" fontId="5" fillId="0" borderId="0" xfId="0" applyNumberFormat="1" applyFont="1" applyBorder="1" applyProtection="1"/>
    <xf numFmtId="168" fontId="4" fillId="0" borderId="0" xfId="0" applyNumberFormat="1" applyFont="1" applyBorder="1" applyProtection="1"/>
    <xf numFmtId="0" fontId="4" fillId="0" borderId="10" xfId="0" applyFont="1" applyBorder="1" applyProtection="1"/>
    <xf numFmtId="0" fontId="5" fillId="0" borderId="11" xfId="0" applyFont="1" applyBorder="1" applyProtection="1"/>
    <xf numFmtId="0" fontId="5" fillId="0" borderId="11" xfId="0" applyFont="1" applyBorder="1" applyAlignment="1" applyProtection="1">
      <alignment wrapText="1"/>
    </xf>
    <xf numFmtId="0" fontId="4" fillId="0" borderId="11" xfId="0" applyFont="1" applyBorder="1" applyProtection="1"/>
    <xf numFmtId="1" fontId="5" fillId="0" borderId="11" xfId="0" applyNumberFormat="1" applyFont="1" applyBorder="1" applyProtection="1"/>
    <xf numFmtId="168" fontId="4" fillId="0" borderId="11" xfId="0" applyNumberFormat="1" applyFont="1" applyBorder="1" applyProtection="1"/>
    <xf numFmtId="0" fontId="4" fillId="0" borderId="12" xfId="0" applyFont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4" fillId="0" borderId="7" xfId="0" applyFont="1" applyFill="1" applyBorder="1" applyAlignment="1" applyProtection="1">
      <alignment vertical="center"/>
    </xf>
    <xf numFmtId="0" fontId="4" fillId="0" borderId="6" xfId="0" applyFont="1" applyBorder="1" applyProtection="1"/>
    <xf numFmtId="0" fontId="7" fillId="0" borderId="8" xfId="0" applyFont="1" applyFill="1" applyBorder="1" applyAlignment="1" applyProtection="1">
      <alignment vertical="center"/>
    </xf>
    <xf numFmtId="0" fontId="11" fillId="0" borderId="0" xfId="0" applyFont="1" applyBorder="1" applyAlignment="1" applyProtection="1"/>
    <xf numFmtId="167" fontId="11" fillId="0" borderId="8" xfId="1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1" fillId="0" borderId="11" xfId="0" applyFont="1" applyBorder="1" applyAlignment="1" applyProtection="1"/>
    <xf numFmtId="169" fontId="7" fillId="3" borderId="1" xfId="0" applyNumberFormat="1" applyFont="1" applyFill="1" applyBorder="1" applyAlignment="1" applyProtection="1">
      <alignment horizontal="center" vertical="center"/>
    </xf>
    <xf numFmtId="168" fontId="6" fillId="3" borderId="1" xfId="1" applyNumberFormat="1" applyFont="1" applyFill="1" applyBorder="1" applyAlignment="1" applyProtection="1">
      <alignment horizontal="center" vertical="center" wrapText="1"/>
    </xf>
    <xf numFmtId="1" fontId="6" fillId="0" borderId="0" xfId="1" applyNumberFormat="1" applyFont="1" applyFill="1" applyBorder="1" applyAlignment="1" applyProtection="1">
      <alignment horizontal="center" vertical="center" wrapText="1"/>
    </xf>
    <xf numFmtId="168" fontId="6" fillId="0" borderId="0" xfId="1" applyNumberFormat="1" applyFont="1" applyFill="1" applyBorder="1" applyAlignment="1" applyProtection="1">
      <alignment horizontal="center" vertical="center" wrapText="1"/>
    </xf>
    <xf numFmtId="10" fontId="6" fillId="3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Protection="1"/>
    <xf numFmtId="14" fontId="12" fillId="0" borderId="1" xfId="0" applyNumberFormat="1" applyFont="1" applyBorder="1" applyAlignment="1" applyProtection="1">
      <alignment horizontal="left" vertical="top"/>
    </xf>
    <xf numFmtId="168" fontId="0" fillId="0" borderId="0" xfId="0" applyNumberFormat="1"/>
    <xf numFmtId="0" fontId="15" fillId="0" borderId="0" xfId="0" applyFont="1" applyProtection="1"/>
    <xf numFmtId="1" fontId="15" fillId="0" borderId="0" xfId="0" applyNumberFormat="1" applyFont="1" applyProtection="1"/>
    <xf numFmtId="0" fontId="17" fillId="0" borderId="0" xfId="0" applyFont="1" applyBorder="1" applyAlignment="1" applyProtection="1"/>
    <xf numFmtId="168" fontId="3" fillId="0" borderId="2" xfId="0" applyNumberFormat="1" applyFont="1" applyBorder="1" applyAlignment="1" applyProtection="1">
      <alignment horizontal="center" vertical="center"/>
    </xf>
    <xf numFmtId="168" fontId="7" fillId="2" borderId="1" xfId="2" applyNumberFormat="1" applyFont="1" applyFill="1" applyBorder="1" applyAlignment="1" applyProtection="1">
      <alignment horizontal="center" vertical="center" wrapText="1"/>
    </xf>
    <xf numFmtId="168" fontId="7" fillId="3" borderId="2" xfId="0" applyNumberFormat="1" applyFont="1" applyFill="1" applyBorder="1" applyAlignment="1" applyProtection="1">
      <alignment vertical="center"/>
    </xf>
    <xf numFmtId="168" fontId="7" fillId="0" borderId="2" xfId="0" applyNumberFormat="1" applyFont="1" applyFill="1" applyBorder="1" applyAlignment="1" applyProtection="1">
      <alignment vertical="center"/>
    </xf>
    <xf numFmtId="168" fontId="7" fillId="0" borderId="6" xfId="0" applyNumberFormat="1" applyFont="1" applyFill="1" applyBorder="1" applyAlignment="1" applyProtection="1">
      <alignment vertical="center"/>
    </xf>
    <xf numFmtId="168" fontId="15" fillId="0" borderId="0" xfId="0" applyNumberFormat="1" applyFont="1" applyProtection="1"/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9" fontId="4" fillId="0" borderId="5" xfId="0" applyNumberFormat="1" applyFont="1" applyBorder="1" applyProtection="1"/>
    <xf numFmtId="169" fontId="3" fillId="0" borderId="2" xfId="0" applyNumberFormat="1" applyFont="1" applyBorder="1" applyAlignment="1" applyProtection="1">
      <alignment horizontal="center" vertical="center"/>
    </xf>
    <xf numFmtId="169" fontId="7" fillId="2" borderId="1" xfId="2" applyNumberFormat="1" applyFont="1" applyFill="1" applyBorder="1" applyAlignment="1" applyProtection="1">
      <alignment horizontal="center" vertical="center"/>
    </xf>
    <xf numFmtId="169" fontId="7" fillId="3" borderId="2" xfId="0" applyNumberFormat="1" applyFont="1" applyFill="1" applyBorder="1" applyAlignment="1" applyProtection="1">
      <alignment vertical="center"/>
    </xf>
    <xf numFmtId="169" fontId="7" fillId="0" borderId="2" xfId="0" applyNumberFormat="1" applyFont="1" applyFill="1" applyBorder="1" applyAlignment="1" applyProtection="1">
      <alignment vertical="center"/>
    </xf>
    <xf numFmtId="169" fontId="7" fillId="0" borderId="5" xfId="0" applyNumberFormat="1" applyFont="1" applyFill="1" applyBorder="1" applyAlignment="1" applyProtection="1">
      <alignment vertical="center"/>
    </xf>
    <xf numFmtId="169" fontId="4" fillId="0" borderId="0" xfId="0" applyNumberFormat="1" applyFont="1" applyBorder="1" applyProtection="1"/>
    <xf numFmtId="169" fontId="4" fillId="0" borderId="11" xfId="0" applyNumberFormat="1" applyFont="1" applyBorder="1" applyProtection="1"/>
    <xf numFmtId="169" fontId="15" fillId="0" borderId="0" xfId="0" applyNumberFormat="1" applyFont="1" applyProtection="1"/>
    <xf numFmtId="0" fontId="5" fillId="0" borderId="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8" fontId="5" fillId="0" borderId="0" xfId="0" applyNumberFormat="1" applyFont="1" applyBorder="1" applyAlignment="1" applyProtection="1">
      <alignment vertical="center"/>
    </xf>
    <xf numFmtId="168" fontId="5" fillId="0" borderId="1" xfId="1" applyNumberFormat="1" applyFont="1" applyFill="1" applyBorder="1" applyAlignment="1" applyProtection="1">
      <alignment horizontal="center" vertical="center" wrapText="1"/>
    </xf>
    <xf numFmtId="168" fontId="11" fillId="0" borderId="0" xfId="0" applyNumberFormat="1" applyFont="1" applyFill="1" applyBorder="1" applyAlignment="1" applyProtection="1">
      <alignment vertical="center"/>
    </xf>
    <xf numFmtId="168" fontId="19" fillId="0" borderId="0" xfId="0" applyNumberFormat="1" applyFont="1" applyBorder="1" applyProtection="1"/>
    <xf numFmtId="167" fontId="11" fillId="0" borderId="11" xfId="1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169" fontId="7" fillId="3" borderId="1" xfId="0" applyNumberFormat="1" applyFont="1" applyFill="1" applyBorder="1" applyAlignment="1" applyProtection="1">
      <alignment vertical="center"/>
    </xf>
    <xf numFmtId="168" fontId="7" fillId="3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vertical="center"/>
    </xf>
    <xf numFmtId="169" fontId="7" fillId="0" borderId="1" xfId="0" applyNumberFormat="1" applyFont="1" applyFill="1" applyBorder="1" applyAlignment="1" applyProtection="1">
      <alignment vertical="center"/>
    </xf>
    <xf numFmtId="168" fontId="7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</xf>
    <xf numFmtId="168" fontId="5" fillId="0" borderId="1" xfId="1" applyNumberFormat="1" applyFont="1" applyFill="1" applyBorder="1" applyAlignment="1" applyProtection="1">
      <alignment horizontal="center" vertical="center"/>
    </xf>
    <xf numFmtId="168" fontId="5" fillId="0" borderId="1" xfId="1" applyNumberFormat="1" applyFont="1" applyFill="1" applyBorder="1" applyAlignment="1" applyProtection="1">
      <alignment horizontal="center" vertical="center"/>
    </xf>
    <xf numFmtId="168" fontId="5" fillId="0" borderId="1" xfId="1" applyNumberFormat="1" applyFont="1" applyFill="1" applyBorder="1" applyAlignment="1" applyProtection="1">
      <alignment horizontal="center" vertical="center"/>
    </xf>
    <xf numFmtId="168" fontId="5" fillId="0" borderId="1" xfId="1" applyNumberFormat="1" applyFont="1" applyFill="1" applyBorder="1" applyAlignment="1" applyProtection="1">
      <alignment horizontal="center" vertical="center"/>
    </xf>
    <xf numFmtId="166" fontId="13" fillId="0" borderId="14" xfId="0" applyNumberFormat="1" applyFont="1" applyFill="1" applyBorder="1" applyAlignment="1" applyProtection="1">
      <alignment shrinkToFit="1"/>
      <protection locked="0"/>
    </xf>
    <xf numFmtId="168" fontId="13" fillId="0" borderId="14" xfId="0" applyNumberFormat="1" applyFont="1" applyFill="1" applyBorder="1" applyAlignment="1" applyProtection="1">
      <alignment shrinkToFit="1"/>
      <protection locked="0"/>
    </xf>
    <xf numFmtId="168" fontId="5" fillId="0" borderId="1" xfId="1" applyNumberFormat="1" applyFont="1" applyFill="1" applyBorder="1" applyAlignment="1" applyProtection="1">
      <alignment horizontal="center" vertical="center"/>
    </xf>
    <xf numFmtId="43" fontId="15" fillId="0" borderId="1" xfId="9" applyNumberFormat="1" applyFont="1" applyFill="1" applyBorder="1" applyAlignment="1" applyProtection="1">
      <alignment vertical="center" shrinkToFit="1"/>
      <protection locked="0"/>
    </xf>
    <xf numFmtId="168" fontId="13" fillId="0" borderId="16" xfId="0" applyNumberFormat="1" applyFont="1" applyFill="1" applyBorder="1" applyAlignment="1" applyProtection="1">
      <alignment shrinkToFit="1"/>
      <protection locked="0"/>
    </xf>
    <xf numFmtId="168" fontId="13" fillId="0" borderId="17" xfId="0" applyNumberFormat="1" applyFont="1" applyFill="1" applyBorder="1" applyAlignment="1" applyProtection="1">
      <alignment shrinkToFit="1"/>
      <protection locked="0"/>
    </xf>
    <xf numFmtId="0" fontId="15" fillId="0" borderId="1" xfId="9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Alignment="1">
      <alignment horizontal="center"/>
    </xf>
    <xf numFmtId="168" fontId="13" fillId="0" borderId="18" xfId="0" applyNumberFormat="1" applyFont="1" applyFill="1" applyBorder="1" applyAlignment="1" applyProtection="1">
      <alignment shrinkToFit="1"/>
      <protection locked="0"/>
    </xf>
    <xf numFmtId="0" fontId="1" fillId="0" borderId="0" xfId="9"/>
    <xf numFmtId="43" fontId="15" fillId="0" borderId="1" xfId="9" applyNumberFormat="1" applyFont="1" applyFill="1" applyBorder="1" applyAlignment="1" applyProtection="1">
      <alignment vertical="center" shrinkToFit="1"/>
      <protection locked="0"/>
    </xf>
    <xf numFmtId="168" fontId="5" fillId="0" borderId="1" xfId="1" applyNumberFormat="1" applyFont="1" applyFill="1" applyBorder="1" applyAlignment="1" applyProtection="1">
      <alignment horizontal="center" vertical="center"/>
    </xf>
    <xf numFmtId="168" fontId="5" fillId="0" borderId="1" xfId="1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20" fillId="5" borderId="21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8" fontId="20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8" fontId="20" fillId="0" borderId="26" xfId="0" applyNumberFormat="1" applyFont="1" applyBorder="1" applyAlignment="1">
      <alignment horizontal="center" vertical="center" wrapText="1"/>
    </xf>
    <xf numFmtId="8" fontId="21" fillId="0" borderId="24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1" fontId="6" fillId="3" borderId="3" xfId="1" applyNumberFormat="1" applyFont="1" applyFill="1" applyBorder="1" applyAlignment="1" applyProtection="1">
      <alignment horizontal="center" vertical="center" wrapText="1"/>
    </xf>
    <xf numFmtId="1" fontId="6" fillId="3" borderId="4" xfId="1" applyNumberFormat="1" applyFont="1" applyFill="1" applyBorder="1" applyAlignment="1" applyProtection="1">
      <alignment horizontal="center" vertical="center" wrapText="1"/>
    </xf>
    <xf numFmtId="168" fontId="16" fillId="3" borderId="3" xfId="1" applyNumberFormat="1" applyFont="1" applyFill="1" applyBorder="1" applyAlignment="1" applyProtection="1">
      <alignment horizontal="center" vertical="center" wrapText="1"/>
    </xf>
    <xf numFmtId="168" fontId="16" fillId="3" borderId="2" xfId="1" applyNumberFormat="1" applyFont="1" applyFill="1" applyBorder="1" applyAlignment="1" applyProtection="1">
      <alignment horizontal="center" vertical="center" wrapText="1"/>
    </xf>
    <xf numFmtId="168" fontId="16" fillId="3" borderId="4" xfId="1" applyNumberFormat="1" applyFont="1" applyFill="1" applyBorder="1" applyAlignment="1" applyProtection="1">
      <alignment horizontal="center" vertical="center" wrapText="1"/>
    </xf>
    <xf numFmtId="168" fontId="5" fillId="0" borderId="1" xfId="1" applyNumberFormat="1" applyFont="1" applyFill="1" applyBorder="1" applyAlignment="1" applyProtection="1">
      <alignment horizontal="center" vertical="center"/>
    </xf>
    <xf numFmtId="168" fontId="5" fillId="0" borderId="3" xfId="1" applyNumberFormat="1" applyFont="1" applyFill="1" applyBorder="1" applyAlignment="1" applyProtection="1">
      <alignment horizontal="center" vertical="center"/>
    </xf>
    <xf numFmtId="168" fontId="5" fillId="0" borderId="2" xfId="1" applyNumberFormat="1" applyFont="1" applyFill="1" applyBorder="1" applyAlignment="1" applyProtection="1">
      <alignment horizontal="center" vertical="center"/>
    </xf>
    <xf numFmtId="168" fontId="5" fillId="0" borderId="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12" fillId="0" borderId="7" xfId="0" applyNumberFormat="1" applyFont="1" applyBorder="1" applyAlignment="1" applyProtection="1">
      <alignment horizontal="center"/>
    </xf>
    <xf numFmtId="1" fontId="12" fillId="0" borderId="6" xfId="0" applyNumberFormat="1" applyFont="1" applyBorder="1" applyAlignment="1" applyProtection="1">
      <alignment horizontal="center"/>
    </xf>
    <xf numFmtId="1" fontId="12" fillId="0" borderId="8" xfId="0" applyNumberFormat="1" applyFont="1" applyBorder="1" applyAlignment="1" applyProtection="1">
      <alignment horizontal="center"/>
    </xf>
    <xf numFmtId="1" fontId="12" fillId="0" borderId="9" xfId="0" applyNumberFormat="1" applyFont="1" applyBorder="1" applyAlignment="1" applyProtection="1">
      <alignment horizontal="center"/>
    </xf>
    <xf numFmtId="1" fontId="12" fillId="0" borderId="10" xfId="0" applyNumberFormat="1" applyFont="1" applyBorder="1" applyAlignment="1" applyProtection="1">
      <alignment horizontal="center"/>
    </xf>
    <xf numFmtId="1" fontId="12" fillId="0" borderId="12" xfId="0" applyNumberFormat="1" applyFont="1" applyBorder="1" applyAlignment="1" applyProtection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/>
    </xf>
    <xf numFmtId="168" fontId="12" fillId="0" borderId="1" xfId="0" applyNumberFormat="1" applyFont="1" applyBorder="1" applyAlignment="1" applyProtection="1">
      <alignment horizontal="center"/>
    </xf>
    <xf numFmtId="49" fontId="12" fillId="0" borderId="3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/>
    </xf>
    <xf numFmtId="170" fontId="15" fillId="4" borderId="15" xfId="9" applyNumberFormat="1" applyFont="1" applyFill="1" applyBorder="1" applyAlignment="1" applyProtection="1">
      <alignment horizontal="center" vertical="center" shrinkToFit="1"/>
      <protection locked="0"/>
    </xf>
    <xf numFmtId="170" fontId="15" fillId="4" borderId="13" xfId="9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9" applyFont="1" applyFill="1" applyBorder="1" applyAlignment="1" applyProtection="1">
      <alignment horizontal="center" vertical="center" shrinkToFit="1"/>
      <protection locked="0"/>
    </xf>
    <xf numFmtId="0" fontId="15" fillId="4" borderId="13" xfId="9" applyFont="1" applyFill="1" applyBorder="1" applyAlignment="1" applyProtection="1">
      <alignment horizontal="center" vertical="center" shrinkToFit="1"/>
      <protection locked="0"/>
    </xf>
    <xf numFmtId="166" fontId="13" fillId="0" borderId="19" xfId="0" applyNumberFormat="1" applyFont="1" applyFill="1" applyBorder="1" applyAlignment="1" applyProtection="1">
      <alignment vertical="center" shrinkToFit="1"/>
      <protection locked="0"/>
    </xf>
    <xf numFmtId="0" fontId="14" fillId="0" borderId="20" xfId="0" applyFont="1" applyFill="1" applyBorder="1" applyAlignment="1" applyProtection="1">
      <alignment vertical="center" shrinkToFit="1"/>
      <protection locked="0"/>
    </xf>
    <xf numFmtId="168" fontId="13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13" fillId="0" borderId="20" xfId="0" applyNumberFormat="1" applyFont="1" applyFill="1" applyBorder="1" applyAlignment="1" applyProtection="1">
      <alignment horizontal="center" vertical="center" shrinkToFit="1"/>
      <protection locked="0"/>
    </xf>
    <xf numFmtId="166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166" fontId="1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68" fontId="4" fillId="0" borderId="9" xfId="0" applyNumberFormat="1" applyFont="1" applyBorder="1" applyProtection="1"/>
  </cellXfs>
  <cellStyles count="11">
    <cellStyle name="Moeda" xfId="1" builtinId="4"/>
    <cellStyle name="Moeda 2" xfId="4"/>
    <cellStyle name="Moeda 2 2" xfId="8"/>
    <cellStyle name="Moeda 3" xfId="3"/>
    <cellStyle name="Moeda 4" xfId="10"/>
    <cellStyle name="Normal" xfId="0" builtinId="0"/>
    <cellStyle name="Normal 2" xfId="5"/>
    <cellStyle name="Normal 3" xfId="7"/>
    <cellStyle name="Normal 4" xfId="9"/>
    <cellStyle name="Vírgula" xfId="2" builtinId="3"/>
    <cellStyle name="Vírgula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B3CAEB"/>
      <color rgb="FFFFFFCC"/>
      <color rgb="FFFFCC99"/>
      <color rgb="FF798BD9"/>
      <color rgb="FFD4E2F4"/>
      <color rgb="FF9EB9DA"/>
      <color rgb="FFE1EAF7"/>
      <color rgb="FFAEC5E0"/>
      <color rgb="FFBFD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2"/>
  <sheetViews>
    <sheetView showGridLines="0" tabSelected="1" zoomScale="70" zoomScaleNormal="70" zoomScalePageLayoutView="40" workbookViewId="0">
      <selection activeCell="AB196" sqref="AB196"/>
    </sheetView>
  </sheetViews>
  <sheetFormatPr defaultRowHeight="15" x14ac:dyDescent="0.2"/>
  <cols>
    <col min="1" max="1" width="3.7109375" style="1" customWidth="1"/>
    <col min="2" max="2" width="2.7109375" style="1" customWidth="1"/>
    <col min="3" max="3" width="10.28515625" style="72" customWidth="1"/>
    <col min="4" max="4" width="14.140625" style="72" customWidth="1"/>
    <col min="5" max="5" width="17.7109375" style="73" bestFit="1" customWidth="1"/>
    <col min="6" max="6" width="72.5703125" style="1" customWidth="1"/>
    <col min="7" max="7" width="13.28515625" style="5" hidden="1" customWidth="1"/>
    <col min="8" max="8" width="13.7109375" style="6" customWidth="1"/>
    <col min="9" max="9" width="22.140625" style="7" bestFit="1" customWidth="1"/>
    <col min="10" max="10" width="31.28515625" style="7" customWidth="1"/>
    <col min="11" max="11" width="18.140625" style="1" customWidth="1"/>
    <col min="12" max="12" width="2.5703125" style="8" customWidth="1"/>
    <col min="13" max="13" width="2" style="8" hidden="1" customWidth="1"/>
    <col min="14" max="14" width="1.85546875" style="1" hidden="1" customWidth="1"/>
    <col min="15" max="17" width="20.7109375" style="1" hidden="1" customWidth="1"/>
    <col min="18" max="18" width="2.7109375" style="1" hidden="1" customWidth="1"/>
    <col min="19" max="21" width="20.7109375" style="1" hidden="1" customWidth="1"/>
    <col min="22" max="22" width="2.85546875" style="1" hidden="1" customWidth="1"/>
    <col min="23" max="24" width="0" style="1" hidden="1" customWidth="1"/>
    <col min="25" max="16384" width="9.140625" style="1"/>
  </cols>
  <sheetData>
    <row r="2" spans="2:22" ht="18" x14ac:dyDescent="0.25">
      <c r="C2" s="171" t="s">
        <v>207</v>
      </c>
      <c r="D2" s="171"/>
      <c r="E2" s="171"/>
      <c r="F2" s="88" t="s">
        <v>271</v>
      </c>
      <c r="G2" s="181" t="s">
        <v>212</v>
      </c>
      <c r="H2" s="181"/>
      <c r="I2" s="181"/>
      <c r="J2" s="182" t="s">
        <v>216</v>
      </c>
      <c r="K2" s="182"/>
    </row>
    <row r="3" spans="2:22" ht="18" x14ac:dyDescent="0.25">
      <c r="C3" s="171" t="s">
        <v>208</v>
      </c>
      <c r="D3" s="171"/>
      <c r="E3" s="171"/>
      <c r="F3" s="88" t="s">
        <v>272</v>
      </c>
      <c r="G3" s="181" t="s">
        <v>215</v>
      </c>
      <c r="H3" s="181"/>
      <c r="I3" s="181"/>
      <c r="J3" s="183" t="s">
        <v>437</v>
      </c>
      <c r="K3" s="184"/>
    </row>
    <row r="4" spans="2:22" ht="18" x14ac:dyDescent="0.25">
      <c r="C4" s="171" t="s">
        <v>209</v>
      </c>
      <c r="D4" s="171"/>
      <c r="E4" s="171"/>
      <c r="F4" s="88" t="s">
        <v>273</v>
      </c>
      <c r="G4" s="173" t="s">
        <v>213</v>
      </c>
      <c r="H4" s="173"/>
      <c r="I4" s="173"/>
      <c r="J4" s="174"/>
      <c r="K4" s="175"/>
    </row>
    <row r="5" spans="2:22" ht="18" x14ac:dyDescent="0.25">
      <c r="C5" s="171" t="s">
        <v>210</v>
      </c>
      <c r="D5" s="171"/>
      <c r="E5" s="171"/>
      <c r="F5" s="88" t="s">
        <v>214</v>
      </c>
      <c r="G5" s="173"/>
      <c r="H5" s="173"/>
      <c r="I5" s="173"/>
      <c r="J5" s="176"/>
      <c r="K5" s="177"/>
    </row>
    <row r="6" spans="2:22" ht="18" x14ac:dyDescent="0.25">
      <c r="C6" s="171" t="s">
        <v>211</v>
      </c>
      <c r="D6" s="171"/>
      <c r="E6" s="171"/>
      <c r="F6" s="89">
        <v>43722</v>
      </c>
      <c r="G6" s="173"/>
      <c r="H6" s="173"/>
      <c r="I6" s="173"/>
      <c r="J6" s="178"/>
      <c r="K6" s="179"/>
    </row>
    <row r="7" spans="2:22" x14ac:dyDescent="0.2">
      <c r="C7" s="2"/>
      <c r="D7" s="2"/>
      <c r="E7" s="3"/>
      <c r="F7" s="4"/>
    </row>
    <row r="8" spans="2:22" x14ac:dyDescent="0.2">
      <c r="B8" s="9"/>
      <c r="C8" s="10"/>
      <c r="D8" s="10"/>
      <c r="E8" s="11"/>
      <c r="F8" s="12"/>
      <c r="G8" s="13"/>
      <c r="H8" s="103"/>
      <c r="I8" s="14"/>
      <c r="J8" s="14"/>
      <c r="K8" s="15"/>
      <c r="L8" s="16"/>
      <c r="M8" s="74"/>
      <c r="N8" s="12"/>
      <c r="O8" s="12"/>
      <c r="P8" s="12"/>
      <c r="Q8" s="12"/>
      <c r="R8" s="12"/>
      <c r="S8" s="12"/>
      <c r="T8" s="12"/>
      <c r="U8" s="12"/>
      <c r="V8" s="75"/>
    </row>
    <row r="9" spans="2:22" ht="39.950000000000003" customHeight="1" x14ac:dyDescent="0.2">
      <c r="B9" s="17"/>
      <c r="C9" s="172" t="s">
        <v>279</v>
      </c>
      <c r="D9" s="172"/>
      <c r="E9" s="172"/>
      <c r="F9" s="172"/>
      <c r="G9" s="172"/>
      <c r="H9" s="172"/>
      <c r="I9" s="172"/>
      <c r="J9" s="172"/>
      <c r="K9" s="18"/>
      <c r="L9" s="19"/>
      <c r="M9" s="76"/>
      <c r="N9" s="4"/>
      <c r="O9" s="4"/>
      <c r="P9" s="4"/>
      <c r="Q9" s="4"/>
      <c r="R9" s="4"/>
      <c r="S9" s="4"/>
      <c r="T9" s="4"/>
      <c r="U9" s="4"/>
      <c r="V9" s="25"/>
    </row>
    <row r="10" spans="2:22" ht="15" customHeight="1" x14ac:dyDescent="0.2">
      <c r="B10" s="17"/>
      <c r="C10" s="20"/>
      <c r="D10" s="20"/>
      <c r="E10" s="21"/>
      <c r="F10" s="22"/>
      <c r="G10" s="23"/>
      <c r="H10" s="104"/>
      <c r="I10" s="94"/>
      <c r="J10" s="24"/>
      <c r="K10" s="25"/>
      <c r="M10" s="56"/>
      <c r="N10" s="4"/>
      <c r="O10" s="4"/>
      <c r="P10" s="4"/>
      <c r="Q10" s="4"/>
      <c r="R10" s="4"/>
      <c r="S10" s="4"/>
      <c r="T10" s="4"/>
      <c r="U10" s="4"/>
      <c r="V10" s="25"/>
    </row>
    <row r="11" spans="2:22" s="33" customFormat="1" ht="50.1" customHeight="1" x14ac:dyDescent="0.2">
      <c r="B11" s="26"/>
      <c r="C11" s="27" t="s">
        <v>0</v>
      </c>
      <c r="D11" s="28" t="s">
        <v>199</v>
      </c>
      <c r="E11" s="28" t="s">
        <v>200</v>
      </c>
      <c r="F11" s="27" t="s">
        <v>4</v>
      </c>
      <c r="G11" s="29" t="s">
        <v>201</v>
      </c>
      <c r="H11" s="105" t="s">
        <v>202</v>
      </c>
      <c r="I11" s="95" t="s">
        <v>55</v>
      </c>
      <c r="J11" s="30" t="s">
        <v>56</v>
      </c>
      <c r="K11" s="31"/>
      <c r="L11" s="32"/>
      <c r="M11" s="26"/>
      <c r="N11" s="32"/>
      <c r="O11" s="180" t="s">
        <v>181</v>
      </c>
      <c r="P11" s="180"/>
      <c r="Q11" s="180"/>
      <c r="R11" s="32"/>
      <c r="S11" s="180" t="s">
        <v>182</v>
      </c>
      <c r="T11" s="180"/>
      <c r="U11" s="180"/>
      <c r="V11" s="31"/>
    </row>
    <row r="12" spans="2:22" ht="15" customHeight="1" x14ac:dyDescent="0.2">
      <c r="B12" s="17"/>
      <c r="C12" s="20"/>
      <c r="D12" s="20"/>
      <c r="E12" s="21"/>
      <c r="F12" s="22"/>
      <c r="G12" s="23"/>
      <c r="H12" s="104"/>
      <c r="I12" s="94"/>
      <c r="J12" s="24"/>
      <c r="K12" s="25"/>
      <c r="L12" s="34"/>
      <c r="M12" s="56"/>
      <c r="N12" s="4"/>
      <c r="O12" s="4"/>
      <c r="P12" s="4"/>
      <c r="Q12" s="4"/>
      <c r="R12" s="4"/>
      <c r="S12" s="4"/>
      <c r="T12" s="4"/>
      <c r="U12" s="4"/>
      <c r="V12" s="25"/>
    </row>
    <row r="13" spans="2:22" s="33" customFormat="1" ht="20.100000000000001" customHeight="1" x14ac:dyDescent="0.2">
      <c r="B13" s="26"/>
      <c r="C13" s="35">
        <v>1</v>
      </c>
      <c r="D13" s="35"/>
      <c r="E13" s="59"/>
      <c r="F13" s="121" t="s">
        <v>22</v>
      </c>
      <c r="G13" s="121"/>
      <c r="H13" s="122"/>
      <c r="I13" s="123"/>
      <c r="J13" s="123"/>
      <c r="K13" s="18"/>
      <c r="L13" s="19"/>
      <c r="M13" s="76"/>
      <c r="N13" s="32"/>
      <c r="O13" s="83" t="s">
        <v>203</v>
      </c>
      <c r="P13" s="83" t="s">
        <v>204</v>
      </c>
      <c r="Q13" s="83" t="s">
        <v>205</v>
      </c>
      <c r="R13" s="32"/>
      <c r="S13" s="83" t="s">
        <v>203</v>
      </c>
      <c r="T13" s="83" t="s">
        <v>204</v>
      </c>
      <c r="U13" s="83" t="s">
        <v>205</v>
      </c>
      <c r="V13" s="31"/>
    </row>
    <row r="14" spans="2:22" s="33" customFormat="1" ht="20.100000000000001" customHeight="1" x14ac:dyDescent="0.2">
      <c r="B14" s="26"/>
      <c r="C14" s="39" t="s">
        <v>1</v>
      </c>
      <c r="D14" s="39"/>
      <c r="E14" s="58"/>
      <c r="F14" s="124" t="s">
        <v>42</v>
      </c>
      <c r="G14" s="125"/>
      <c r="H14" s="126"/>
      <c r="I14" s="127"/>
      <c r="J14" s="127"/>
      <c r="K14" s="18"/>
      <c r="L14" s="19"/>
      <c r="M14" s="76"/>
      <c r="N14" s="32"/>
      <c r="O14" s="32"/>
      <c r="P14" s="32"/>
      <c r="Q14" s="32"/>
      <c r="R14" s="32"/>
      <c r="S14" s="32"/>
      <c r="T14" s="32"/>
      <c r="U14" s="32"/>
      <c r="V14" s="31"/>
    </row>
    <row r="15" spans="2:22" s="62" customFormat="1" ht="50.1" customHeight="1" x14ac:dyDescent="0.2">
      <c r="B15" s="61"/>
      <c r="C15" s="43" t="s">
        <v>6</v>
      </c>
      <c r="D15" s="43" t="s">
        <v>43</v>
      </c>
      <c r="E15" s="44" t="s">
        <v>44</v>
      </c>
      <c r="F15" s="128" t="s">
        <v>33</v>
      </c>
      <c r="G15" s="46" t="s">
        <v>31</v>
      </c>
      <c r="H15" s="47">
        <v>6</v>
      </c>
      <c r="I15" s="48">
        <v>317.14</v>
      </c>
      <c r="J15" s="48">
        <f>I15*H15</f>
        <v>1902.84</v>
      </c>
      <c r="K15" s="51"/>
      <c r="L15" s="52"/>
      <c r="M15" s="78"/>
      <c r="N15" s="81"/>
      <c r="O15" s="167" t="s">
        <v>44</v>
      </c>
      <c r="P15" s="167"/>
      <c r="Q15" s="167"/>
      <c r="R15" s="81"/>
      <c r="S15" s="167" t="s">
        <v>44</v>
      </c>
      <c r="T15" s="167"/>
      <c r="U15" s="167"/>
      <c r="V15" s="51"/>
    </row>
    <row r="16" spans="2:22" s="62" customFormat="1" ht="45" x14ac:dyDescent="0.2">
      <c r="B16" s="61"/>
      <c r="C16" s="43" t="s">
        <v>35</v>
      </c>
      <c r="D16" s="43">
        <v>10776</v>
      </c>
      <c r="E16" s="44" t="s">
        <v>44</v>
      </c>
      <c r="F16" s="128" t="s">
        <v>274</v>
      </c>
      <c r="G16" s="46" t="s">
        <v>32</v>
      </c>
      <c r="H16" s="47">
        <v>5</v>
      </c>
      <c r="I16" s="48">
        <v>402.34</v>
      </c>
      <c r="J16" s="48">
        <f>I16*H16</f>
        <v>2011.6999999999998</v>
      </c>
      <c r="K16" s="51"/>
      <c r="L16" s="52"/>
      <c r="M16" s="78"/>
      <c r="N16" s="81"/>
      <c r="O16" s="167" t="s">
        <v>44</v>
      </c>
      <c r="P16" s="167"/>
      <c r="Q16" s="167"/>
      <c r="R16" s="81"/>
      <c r="S16" s="167" t="s">
        <v>44</v>
      </c>
      <c r="T16" s="167"/>
      <c r="U16" s="167"/>
      <c r="V16" s="51"/>
    </row>
    <row r="17" spans="2:24" s="62" customFormat="1" ht="45" x14ac:dyDescent="0.2">
      <c r="B17" s="61"/>
      <c r="C17" s="43" t="s">
        <v>36</v>
      </c>
      <c r="D17" s="43">
        <v>10777</v>
      </c>
      <c r="E17" s="44" t="s">
        <v>44</v>
      </c>
      <c r="F17" s="128" t="s">
        <v>258</v>
      </c>
      <c r="G17" s="46" t="s">
        <v>32</v>
      </c>
      <c r="H17" s="47">
        <v>5</v>
      </c>
      <c r="I17" s="48">
        <v>584.73</v>
      </c>
      <c r="J17" s="48">
        <f>I17*H17</f>
        <v>2923.65</v>
      </c>
      <c r="K17" s="51"/>
      <c r="L17" s="52"/>
      <c r="M17" s="78"/>
      <c r="N17" s="81"/>
      <c r="O17" s="167" t="s">
        <v>44</v>
      </c>
      <c r="P17" s="167"/>
      <c r="Q17" s="167"/>
      <c r="R17" s="81"/>
      <c r="S17" s="167" t="s">
        <v>44</v>
      </c>
      <c r="T17" s="167"/>
      <c r="U17" s="167"/>
      <c r="V17" s="51"/>
    </row>
    <row r="18" spans="2:24" s="33" customFormat="1" ht="20.100000000000001" customHeight="1" x14ac:dyDescent="0.2">
      <c r="B18" s="26"/>
      <c r="C18" s="39" t="s">
        <v>2</v>
      </c>
      <c r="D18" s="39"/>
      <c r="E18" s="58"/>
      <c r="F18" s="124" t="s">
        <v>172</v>
      </c>
      <c r="G18" s="125"/>
      <c r="H18" s="126"/>
      <c r="I18" s="127"/>
      <c r="J18" s="127"/>
      <c r="K18" s="18"/>
      <c r="L18" s="19"/>
      <c r="M18" s="76"/>
      <c r="N18" s="32"/>
      <c r="O18" s="116"/>
      <c r="P18" s="32"/>
      <c r="Q18" s="32"/>
      <c r="R18" s="32"/>
      <c r="S18" s="32"/>
      <c r="T18" s="32"/>
      <c r="U18" s="32"/>
      <c r="V18" s="31"/>
    </row>
    <row r="19" spans="2:24" s="62" customFormat="1" ht="50.1" customHeight="1" x14ac:dyDescent="0.2">
      <c r="B19" s="61"/>
      <c r="C19" s="43" t="s">
        <v>7</v>
      </c>
      <c r="D19" s="43" t="s">
        <v>260</v>
      </c>
      <c r="E19" s="44" t="s">
        <v>44</v>
      </c>
      <c r="F19" s="128" t="s">
        <v>259</v>
      </c>
      <c r="G19" s="46" t="s">
        <v>31</v>
      </c>
      <c r="H19" s="47">
        <f>2880/3</f>
        <v>960</v>
      </c>
      <c r="I19" s="48">
        <v>0.51</v>
      </c>
      <c r="J19" s="48">
        <f t="shared" ref="J19:J24" si="0">I19*H19</f>
        <v>489.6</v>
      </c>
      <c r="K19" s="51"/>
      <c r="L19" s="52"/>
      <c r="M19" s="78"/>
      <c r="N19" s="81"/>
      <c r="O19" s="167" t="s">
        <v>44</v>
      </c>
      <c r="P19" s="167"/>
      <c r="Q19" s="167"/>
      <c r="R19" s="81"/>
      <c r="S19" s="167" t="s">
        <v>44</v>
      </c>
      <c r="T19" s="167"/>
      <c r="U19" s="167"/>
      <c r="V19" s="51"/>
    </row>
    <row r="20" spans="2:24" s="62" customFormat="1" ht="50.1" customHeight="1" x14ac:dyDescent="0.2">
      <c r="B20" s="61"/>
      <c r="C20" s="43" t="s">
        <v>17</v>
      </c>
      <c r="D20" s="43">
        <v>72894</v>
      </c>
      <c r="E20" s="44" t="s">
        <v>44</v>
      </c>
      <c r="F20" s="128" t="s">
        <v>230</v>
      </c>
      <c r="G20" s="46" t="s">
        <v>31</v>
      </c>
      <c r="H20" s="47">
        <f>H19*0.5</f>
        <v>480</v>
      </c>
      <c r="I20" s="48">
        <v>4.07</v>
      </c>
      <c r="J20" s="48">
        <f t="shared" si="0"/>
        <v>1953.6000000000001</v>
      </c>
      <c r="K20" s="51"/>
      <c r="L20" s="52"/>
      <c r="M20" s="78"/>
      <c r="N20" s="81"/>
      <c r="O20" s="167" t="s">
        <v>44</v>
      </c>
      <c r="P20" s="167"/>
      <c r="Q20" s="167"/>
      <c r="R20" s="81"/>
      <c r="S20" s="167" t="s">
        <v>44</v>
      </c>
      <c r="T20" s="167"/>
      <c r="U20" s="167"/>
      <c r="V20" s="51"/>
    </row>
    <row r="21" spans="2:24" s="62" customFormat="1" ht="50.1" customHeight="1" x14ac:dyDescent="0.2">
      <c r="B21" s="61"/>
      <c r="C21" s="43" t="s">
        <v>27</v>
      </c>
      <c r="D21" s="43" t="s">
        <v>45</v>
      </c>
      <c r="E21" s="44" t="s">
        <v>44</v>
      </c>
      <c r="F21" s="128" t="s">
        <v>51</v>
      </c>
      <c r="G21" s="46" t="s">
        <v>34</v>
      </c>
      <c r="H21" s="47">
        <f>H19*0.4</f>
        <v>384</v>
      </c>
      <c r="I21" s="48">
        <v>4.8</v>
      </c>
      <c r="J21" s="48">
        <f t="shared" si="0"/>
        <v>1843.1999999999998</v>
      </c>
      <c r="K21" s="51"/>
      <c r="L21" s="52"/>
      <c r="M21" s="78"/>
      <c r="N21" s="81"/>
      <c r="O21" s="167" t="s">
        <v>44</v>
      </c>
      <c r="P21" s="167"/>
      <c r="Q21" s="167"/>
      <c r="R21" s="81"/>
      <c r="S21" s="167" t="s">
        <v>44</v>
      </c>
      <c r="T21" s="167"/>
      <c r="U21" s="167"/>
      <c r="V21" s="51"/>
    </row>
    <row r="22" spans="2:24" s="62" customFormat="1" ht="50.1" customHeight="1" x14ac:dyDescent="0.2">
      <c r="B22" s="61"/>
      <c r="C22" s="43" t="s">
        <v>29</v>
      </c>
      <c r="D22" s="43" t="s">
        <v>276</v>
      </c>
      <c r="E22" s="44" t="s">
        <v>44</v>
      </c>
      <c r="F22" s="128" t="s">
        <v>275</v>
      </c>
      <c r="G22" s="46" t="s">
        <v>34</v>
      </c>
      <c r="H22" s="47">
        <f>432/3</f>
        <v>144</v>
      </c>
      <c r="I22" s="48">
        <v>0.35</v>
      </c>
      <c r="J22" s="48">
        <f t="shared" si="0"/>
        <v>50.4</v>
      </c>
      <c r="K22" s="51"/>
      <c r="L22" s="52"/>
      <c r="M22" s="78"/>
      <c r="N22" s="81"/>
      <c r="O22" s="167" t="s">
        <v>44</v>
      </c>
      <c r="P22" s="167"/>
      <c r="Q22" s="167"/>
      <c r="R22" s="81"/>
      <c r="S22" s="167" t="s">
        <v>44</v>
      </c>
      <c r="T22" s="167"/>
      <c r="U22" s="167"/>
      <c r="V22" s="51"/>
    </row>
    <row r="23" spans="2:24" s="62" customFormat="1" ht="50.1" customHeight="1" x14ac:dyDescent="0.2">
      <c r="B23" s="61"/>
      <c r="C23" s="43" t="s">
        <v>37</v>
      </c>
      <c r="D23" s="43">
        <v>79472</v>
      </c>
      <c r="E23" s="44" t="s">
        <v>44</v>
      </c>
      <c r="F23" s="128" t="s">
        <v>47</v>
      </c>
      <c r="G23" s="46" t="s">
        <v>31</v>
      </c>
      <c r="H23" s="47">
        <f>H19</f>
        <v>960</v>
      </c>
      <c r="I23" s="48">
        <v>0.46</v>
      </c>
      <c r="J23" s="48">
        <f t="shared" si="0"/>
        <v>441.6</v>
      </c>
      <c r="K23" s="51"/>
      <c r="L23" s="52"/>
      <c r="M23" s="78"/>
      <c r="N23" s="81"/>
      <c r="O23" s="167" t="s">
        <v>44</v>
      </c>
      <c r="P23" s="167"/>
      <c r="Q23" s="167"/>
      <c r="R23" s="81"/>
      <c r="S23" s="167" t="s">
        <v>44</v>
      </c>
      <c r="T23" s="167"/>
      <c r="U23" s="167"/>
      <c r="V23" s="51"/>
    </row>
    <row r="24" spans="2:24" s="62" customFormat="1" ht="50.1" customHeight="1" x14ac:dyDescent="0.2">
      <c r="B24" s="61"/>
      <c r="C24" s="43" t="s">
        <v>38</v>
      </c>
      <c r="D24" s="43">
        <v>41721</v>
      </c>
      <c r="E24" s="44" t="s">
        <v>44</v>
      </c>
      <c r="F24" s="128" t="s">
        <v>49</v>
      </c>
      <c r="G24" s="46" t="s">
        <v>31</v>
      </c>
      <c r="H24" s="47">
        <f>H23</f>
        <v>960</v>
      </c>
      <c r="I24" s="48">
        <v>3.16</v>
      </c>
      <c r="J24" s="48">
        <f t="shared" si="0"/>
        <v>3033.6000000000004</v>
      </c>
      <c r="K24" s="51"/>
      <c r="L24" s="52"/>
      <c r="M24" s="78"/>
      <c r="N24" s="81"/>
      <c r="O24" s="167" t="s">
        <v>44</v>
      </c>
      <c r="P24" s="167"/>
      <c r="Q24" s="167"/>
      <c r="R24" s="81"/>
      <c r="S24" s="167" t="s">
        <v>44</v>
      </c>
      <c r="T24" s="167"/>
      <c r="U24" s="167"/>
      <c r="V24" s="51"/>
    </row>
    <row r="25" spans="2:24" s="50" customFormat="1" ht="20.100000000000001" customHeight="1" x14ac:dyDescent="0.2">
      <c r="B25" s="42"/>
      <c r="C25" s="125"/>
      <c r="D25" s="125"/>
      <c r="E25" s="129"/>
      <c r="F25" s="125"/>
      <c r="G25" s="126"/>
      <c r="H25" s="126"/>
      <c r="I25" s="127" t="s">
        <v>41</v>
      </c>
      <c r="J25" s="55">
        <f>SUM(J15:J24)</f>
        <v>14650.19</v>
      </c>
      <c r="K25" s="51"/>
      <c r="L25" s="52"/>
      <c r="M25" s="78"/>
      <c r="N25" s="77"/>
      <c r="O25" s="77"/>
      <c r="P25" s="77"/>
      <c r="Q25" s="77"/>
      <c r="R25" s="77"/>
      <c r="S25" s="77"/>
      <c r="T25" s="77"/>
      <c r="U25" s="77"/>
      <c r="V25" s="49"/>
    </row>
    <row r="26" spans="2:24" s="33" customFormat="1" ht="20.100000000000001" customHeight="1" x14ac:dyDescent="0.2">
      <c r="B26" s="26"/>
      <c r="C26" s="35">
        <v>2</v>
      </c>
      <c r="D26" s="35"/>
      <c r="E26" s="59"/>
      <c r="F26" s="121" t="s">
        <v>173</v>
      </c>
      <c r="G26" s="121"/>
      <c r="H26" s="122"/>
      <c r="I26" s="123"/>
      <c r="J26" s="123"/>
      <c r="K26" s="18"/>
      <c r="L26" s="19"/>
      <c r="M26" s="76"/>
      <c r="N26" s="32"/>
      <c r="O26" s="116"/>
      <c r="P26" s="32"/>
      <c r="Q26" s="32"/>
      <c r="R26" s="32"/>
      <c r="S26" s="32"/>
      <c r="T26" s="32"/>
      <c r="U26" s="32"/>
      <c r="V26" s="31"/>
    </row>
    <row r="27" spans="2:24" s="102" customFormat="1" ht="20.100000000000001" customHeight="1" x14ac:dyDescent="0.2">
      <c r="B27" s="100"/>
      <c r="C27" s="39" t="s">
        <v>3</v>
      </c>
      <c r="D27" s="39"/>
      <c r="E27" s="58"/>
      <c r="F27" s="124" t="s">
        <v>252</v>
      </c>
      <c r="G27" s="125"/>
      <c r="H27" s="126"/>
      <c r="I27" s="127"/>
      <c r="J27" s="127"/>
      <c r="K27" s="18"/>
      <c r="L27" s="19"/>
      <c r="M27" s="76"/>
      <c r="N27" s="16"/>
      <c r="O27" s="16"/>
      <c r="P27" s="16"/>
      <c r="Q27" s="16"/>
      <c r="R27" s="16"/>
      <c r="S27" s="16"/>
      <c r="T27" s="16"/>
      <c r="U27" s="16"/>
      <c r="V27" s="101"/>
    </row>
    <row r="28" spans="2:24" s="62" customFormat="1" ht="50.1" customHeight="1" x14ac:dyDescent="0.2">
      <c r="B28" s="61"/>
      <c r="C28" s="43" t="s">
        <v>8</v>
      </c>
      <c r="D28" s="43">
        <v>92794</v>
      </c>
      <c r="E28" s="44" t="s">
        <v>44</v>
      </c>
      <c r="F28" s="128" t="s">
        <v>223</v>
      </c>
      <c r="G28" s="46" t="s">
        <v>222</v>
      </c>
      <c r="H28" s="47">
        <f>15610+1766</f>
        <v>17376</v>
      </c>
      <c r="I28" s="48">
        <v>6.84</v>
      </c>
      <c r="J28" s="48">
        <f>I28*H28</f>
        <v>118851.84</v>
      </c>
      <c r="K28" s="51"/>
      <c r="L28" s="118"/>
      <c r="M28" s="80"/>
      <c r="N28" s="81"/>
      <c r="O28" s="167" t="s">
        <v>44</v>
      </c>
      <c r="P28" s="167"/>
      <c r="Q28" s="167"/>
      <c r="R28" s="81"/>
      <c r="S28" s="167" t="s">
        <v>44</v>
      </c>
      <c r="T28" s="167"/>
      <c r="U28" s="167"/>
      <c r="V28" s="51"/>
    </row>
    <row r="29" spans="2:24" s="62" customFormat="1" ht="66" customHeight="1" x14ac:dyDescent="0.2">
      <c r="B29" s="61"/>
      <c r="C29" s="43" t="s">
        <v>30</v>
      </c>
      <c r="D29" s="43">
        <v>1359</v>
      </c>
      <c r="E29" s="44" t="s">
        <v>44</v>
      </c>
      <c r="F29" s="128" t="s">
        <v>261</v>
      </c>
      <c r="G29" s="46" t="s">
        <v>31</v>
      </c>
      <c r="H29" s="47">
        <f>66+14.88</f>
        <v>80.88</v>
      </c>
      <c r="I29" s="48">
        <v>66.42</v>
      </c>
      <c r="J29" s="48">
        <f t="shared" ref="J29:J30" si="1">I29*H29</f>
        <v>5372.0496000000003</v>
      </c>
      <c r="K29" s="51"/>
      <c r="L29" s="57"/>
      <c r="M29" s="80"/>
      <c r="N29" s="81"/>
      <c r="O29" s="167" t="s">
        <v>44</v>
      </c>
      <c r="P29" s="167"/>
      <c r="Q29" s="167"/>
      <c r="R29" s="81"/>
      <c r="S29" s="167" t="s">
        <v>44</v>
      </c>
      <c r="T29" s="167"/>
      <c r="U29" s="167"/>
      <c r="V29" s="51"/>
      <c r="X29" s="62" t="s">
        <v>257</v>
      </c>
    </row>
    <row r="30" spans="2:24" s="62" customFormat="1" ht="50.1" customHeight="1" x14ac:dyDescent="0.2">
      <c r="B30" s="61"/>
      <c r="C30" s="43" t="s">
        <v>39</v>
      </c>
      <c r="D30" s="43">
        <v>96396</v>
      </c>
      <c r="E30" s="44" t="s">
        <v>44</v>
      </c>
      <c r="F30" s="128" t="s">
        <v>263</v>
      </c>
      <c r="G30" s="46" t="s">
        <v>34</v>
      </c>
      <c r="H30" s="47">
        <v>120</v>
      </c>
      <c r="I30" s="48">
        <v>90.81</v>
      </c>
      <c r="J30" s="48">
        <f t="shared" si="1"/>
        <v>10897.2</v>
      </c>
      <c r="K30" s="51"/>
      <c r="L30" s="57"/>
      <c r="M30" s="80"/>
      <c r="N30" s="81"/>
      <c r="O30" s="167" t="s">
        <v>44</v>
      </c>
      <c r="P30" s="167"/>
      <c r="Q30" s="167"/>
      <c r="R30" s="81"/>
      <c r="S30" s="167" t="s">
        <v>44</v>
      </c>
      <c r="T30" s="167"/>
      <c r="U30" s="167"/>
      <c r="V30" s="51"/>
      <c r="X30" s="62" t="s">
        <v>257</v>
      </c>
    </row>
    <row r="31" spans="2:24" s="62" customFormat="1" ht="66" customHeight="1" x14ac:dyDescent="0.2">
      <c r="B31" s="61"/>
      <c r="C31" s="43" t="s">
        <v>40</v>
      </c>
      <c r="D31" s="43">
        <v>92725</v>
      </c>
      <c r="E31" s="44" t="s">
        <v>44</v>
      </c>
      <c r="F31" s="128" t="s">
        <v>262</v>
      </c>
      <c r="G31" s="46" t="s">
        <v>34</v>
      </c>
      <c r="H31" s="47">
        <f>105+33.44</f>
        <v>138.44</v>
      </c>
      <c r="I31" s="48">
        <v>319.31</v>
      </c>
      <c r="J31" s="48">
        <f>I31*H31</f>
        <v>44205.276400000002</v>
      </c>
      <c r="K31" s="51"/>
      <c r="L31" s="57"/>
      <c r="M31" s="80"/>
      <c r="N31" s="81"/>
      <c r="O31" s="167" t="s">
        <v>44</v>
      </c>
      <c r="P31" s="167"/>
      <c r="Q31" s="167"/>
      <c r="R31" s="81"/>
      <c r="S31" s="167" t="s">
        <v>44</v>
      </c>
      <c r="T31" s="167"/>
      <c r="U31" s="167"/>
      <c r="V31" s="51"/>
      <c r="X31" s="62" t="s">
        <v>257</v>
      </c>
    </row>
    <row r="32" spans="2:24" s="50" customFormat="1" ht="20.100000000000001" customHeight="1" x14ac:dyDescent="0.2">
      <c r="B32" s="42"/>
      <c r="C32" s="125"/>
      <c r="D32" s="125"/>
      <c r="E32" s="129"/>
      <c r="F32" s="125"/>
      <c r="G32" s="126"/>
      <c r="H32" s="126"/>
      <c r="I32" s="127" t="s">
        <v>41</v>
      </c>
      <c r="J32" s="55">
        <f>SUM(J28:J31)</f>
        <v>179326.36600000001</v>
      </c>
      <c r="K32" s="51"/>
      <c r="L32" s="52"/>
      <c r="M32" s="78"/>
      <c r="N32" s="77"/>
      <c r="O32" s="77"/>
      <c r="P32" s="77"/>
      <c r="Q32" s="77"/>
      <c r="R32" s="77"/>
      <c r="S32" s="77"/>
      <c r="T32" s="77"/>
      <c r="U32" s="77"/>
      <c r="V32" s="49"/>
    </row>
    <row r="33" spans="2:22" s="115" customFormat="1" ht="20.100000000000001" customHeight="1" x14ac:dyDescent="0.2">
      <c r="B33" s="112"/>
      <c r="C33" s="35">
        <v>3</v>
      </c>
      <c r="D33" s="35"/>
      <c r="E33" s="59"/>
      <c r="F33" s="121" t="s">
        <v>23</v>
      </c>
      <c r="G33" s="121"/>
      <c r="H33" s="122"/>
      <c r="I33" s="123"/>
      <c r="J33" s="123"/>
      <c r="K33" s="18"/>
      <c r="L33" s="19"/>
      <c r="M33" s="76"/>
      <c r="N33" s="113"/>
      <c r="O33" s="113"/>
      <c r="P33" s="113"/>
      <c r="Q33" s="113"/>
      <c r="R33" s="113"/>
      <c r="S33" s="113"/>
      <c r="T33" s="113"/>
      <c r="U33" s="113"/>
      <c r="V33" s="114"/>
    </row>
    <row r="34" spans="2:22" s="102" customFormat="1" ht="20.100000000000001" customHeight="1" x14ac:dyDescent="0.2">
      <c r="B34" s="100"/>
      <c r="C34" s="39" t="s">
        <v>290</v>
      </c>
      <c r="D34" s="39"/>
      <c r="E34" s="58"/>
      <c r="F34" s="124" t="s">
        <v>255</v>
      </c>
      <c r="G34" s="125"/>
      <c r="H34" s="126"/>
      <c r="I34" s="127"/>
      <c r="J34" s="127"/>
      <c r="K34" s="18"/>
      <c r="L34" s="19"/>
      <c r="M34" s="76"/>
      <c r="N34" s="16"/>
      <c r="O34" s="16"/>
      <c r="P34" s="16"/>
      <c r="Q34" s="16"/>
      <c r="R34" s="16"/>
      <c r="S34" s="16"/>
      <c r="T34" s="16"/>
      <c r="U34" s="16"/>
      <c r="V34" s="101"/>
    </row>
    <row r="35" spans="2:22" s="62" customFormat="1" ht="66" customHeight="1" x14ac:dyDescent="0.2">
      <c r="B35" s="61"/>
      <c r="C35" s="43" t="s">
        <v>9</v>
      </c>
      <c r="D35" s="43">
        <v>1359</v>
      </c>
      <c r="E35" s="44" t="s">
        <v>44</v>
      </c>
      <c r="F35" s="128" t="s">
        <v>261</v>
      </c>
      <c r="G35" s="46" t="s">
        <v>31</v>
      </c>
      <c r="H35" s="47">
        <f>10.11/3</f>
        <v>3.3699999999999997</v>
      </c>
      <c r="I35" s="48">
        <v>66.42</v>
      </c>
      <c r="J35" s="48">
        <f t="shared" ref="J35:J36" si="2">I35*H35</f>
        <v>223.83539999999999</v>
      </c>
      <c r="K35" s="51"/>
      <c r="L35" s="118"/>
      <c r="M35" s="80"/>
      <c r="N35" s="81"/>
      <c r="O35" s="167" t="s">
        <v>44</v>
      </c>
      <c r="P35" s="167"/>
      <c r="Q35" s="167"/>
      <c r="R35" s="81"/>
      <c r="S35" s="167" t="s">
        <v>44</v>
      </c>
      <c r="T35" s="167"/>
      <c r="U35" s="167"/>
      <c r="V35" s="51"/>
    </row>
    <row r="36" spans="2:22" s="62" customFormat="1" ht="50.1" customHeight="1" x14ac:dyDescent="0.2">
      <c r="B36" s="61"/>
      <c r="C36" s="43" t="s">
        <v>18</v>
      </c>
      <c r="D36" s="43">
        <v>73710</v>
      </c>
      <c r="E36" s="44" t="s">
        <v>44</v>
      </c>
      <c r="F36" s="128" t="s">
        <v>253</v>
      </c>
      <c r="G36" s="46" t="s">
        <v>34</v>
      </c>
      <c r="H36" s="47">
        <f>9.51/3</f>
        <v>3.17</v>
      </c>
      <c r="I36" s="48">
        <v>86.08</v>
      </c>
      <c r="J36" s="48">
        <f t="shared" si="2"/>
        <v>272.87360000000001</v>
      </c>
      <c r="K36" s="51"/>
      <c r="L36" s="57"/>
      <c r="M36" s="80"/>
      <c r="N36" s="81"/>
      <c r="O36" s="167" t="s">
        <v>44</v>
      </c>
      <c r="P36" s="167"/>
      <c r="Q36" s="167"/>
      <c r="R36" s="81"/>
      <c r="S36" s="167" t="s">
        <v>44</v>
      </c>
      <c r="T36" s="167"/>
      <c r="U36" s="167"/>
      <c r="V36" s="51"/>
    </row>
    <row r="37" spans="2:22" s="62" customFormat="1" ht="83.25" customHeight="1" x14ac:dyDescent="0.2">
      <c r="B37" s="61"/>
      <c r="C37" s="43" t="s">
        <v>18</v>
      </c>
      <c r="D37" s="43">
        <v>92725</v>
      </c>
      <c r="E37" s="44" t="s">
        <v>44</v>
      </c>
      <c r="F37" s="128" t="s">
        <v>254</v>
      </c>
      <c r="G37" s="46" t="s">
        <v>34</v>
      </c>
      <c r="H37" s="47">
        <f>25.37/3</f>
        <v>8.456666666666667</v>
      </c>
      <c r="I37" s="48">
        <v>318.33999999999997</v>
      </c>
      <c r="J37" s="48">
        <f>I37*H37</f>
        <v>2692.0952666666667</v>
      </c>
      <c r="K37" s="51"/>
      <c r="L37" s="57"/>
      <c r="M37" s="80"/>
      <c r="N37" s="81"/>
      <c r="O37" s="167" t="s">
        <v>44</v>
      </c>
      <c r="P37" s="167"/>
      <c r="Q37" s="167"/>
      <c r="R37" s="81"/>
      <c r="S37" s="167" t="s">
        <v>44</v>
      </c>
      <c r="T37" s="167"/>
      <c r="U37" s="167"/>
      <c r="V37" s="51"/>
    </row>
    <row r="38" spans="2:22" s="62" customFormat="1" ht="50.1" customHeight="1" x14ac:dyDescent="0.2">
      <c r="B38" s="61"/>
      <c r="C38" s="43" t="s">
        <v>9</v>
      </c>
      <c r="D38" s="43">
        <v>92794</v>
      </c>
      <c r="E38" s="44" t="s">
        <v>44</v>
      </c>
      <c r="F38" s="128" t="s">
        <v>223</v>
      </c>
      <c r="G38" s="46" t="s">
        <v>222</v>
      </c>
      <c r="H38" s="47">
        <f>588/3</f>
        <v>196</v>
      </c>
      <c r="I38" s="48">
        <v>6.74</v>
      </c>
      <c r="J38" s="48">
        <f>I38*H38</f>
        <v>1321.04</v>
      </c>
      <c r="K38" s="51"/>
      <c r="L38" s="57"/>
      <c r="M38" s="80"/>
      <c r="N38" s="81"/>
      <c r="O38" s="167" t="s">
        <v>44</v>
      </c>
      <c r="P38" s="167"/>
      <c r="Q38" s="167"/>
      <c r="R38" s="81"/>
      <c r="S38" s="167" t="s">
        <v>44</v>
      </c>
      <c r="T38" s="167"/>
      <c r="U38" s="167"/>
      <c r="V38" s="51"/>
    </row>
    <row r="39" spans="2:22" s="102" customFormat="1" ht="20.100000000000001" customHeight="1" x14ac:dyDescent="0.2">
      <c r="B39" s="100"/>
      <c r="C39" s="39" t="s">
        <v>291</v>
      </c>
      <c r="D39" s="39"/>
      <c r="E39" s="58"/>
      <c r="F39" s="124" t="s">
        <v>10</v>
      </c>
      <c r="G39" s="125"/>
      <c r="H39" s="126"/>
      <c r="I39" s="127"/>
      <c r="J39" s="127"/>
      <c r="K39" s="51"/>
      <c r="L39" s="19"/>
      <c r="M39" s="76"/>
      <c r="N39" s="16"/>
      <c r="O39" s="16"/>
      <c r="P39" s="16"/>
      <c r="Q39" s="16"/>
      <c r="R39" s="16"/>
      <c r="S39" s="16"/>
      <c r="T39" s="16"/>
      <c r="U39" s="16"/>
      <c r="V39" s="101"/>
    </row>
    <row r="40" spans="2:22" s="62" customFormat="1" ht="60" x14ac:dyDescent="0.2">
      <c r="B40" s="61"/>
      <c r="C40" s="43" t="s">
        <v>53</v>
      </c>
      <c r="D40" s="43">
        <v>92539</v>
      </c>
      <c r="E40" s="44" t="s">
        <v>44</v>
      </c>
      <c r="F40" s="128" t="s">
        <v>52</v>
      </c>
      <c r="G40" s="46" t="s">
        <v>31</v>
      </c>
      <c r="H40" s="47">
        <f>100/3</f>
        <v>33.333333333333336</v>
      </c>
      <c r="I40" s="48">
        <v>53.97</v>
      </c>
      <c r="J40" s="48">
        <f t="shared" ref="J40:J41" si="3">I40*H40</f>
        <v>1799</v>
      </c>
      <c r="K40" s="51"/>
      <c r="L40" s="57"/>
      <c r="M40" s="80"/>
      <c r="N40" s="81"/>
      <c r="O40" s="167" t="s">
        <v>44</v>
      </c>
      <c r="P40" s="167"/>
      <c r="Q40" s="167"/>
      <c r="R40" s="81"/>
      <c r="S40" s="167" t="s">
        <v>44</v>
      </c>
      <c r="T40" s="167"/>
      <c r="U40" s="167"/>
      <c r="V40" s="51"/>
    </row>
    <row r="41" spans="2:22" s="62" customFormat="1" ht="60" x14ac:dyDescent="0.2">
      <c r="B41" s="61"/>
      <c r="C41" s="43" t="s">
        <v>54</v>
      </c>
      <c r="D41" s="43">
        <v>94207</v>
      </c>
      <c r="E41" s="44" t="s">
        <v>44</v>
      </c>
      <c r="F41" s="128" t="s">
        <v>50</v>
      </c>
      <c r="G41" s="46" t="s">
        <v>31</v>
      </c>
      <c r="H41" s="47">
        <f>100/3</f>
        <v>33.333333333333336</v>
      </c>
      <c r="I41" s="48">
        <v>32.89</v>
      </c>
      <c r="J41" s="48">
        <f t="shared" si="3"/>
        <v>1096.3333333333335</v>
      </c>
      <c r="K41" s="51"/>
      <c r="L41" s="57"/>
      <c r="M41" s="80"/>
      <c r="N41" s="81"/>
      <c r="O41" s="167" t="s">
        <v>44</v>
      </c>
      <c r="P41" s="167"/>
      <c r="Q41" s="167"/>
      <c r="R41" s="81"/>
      <c r="S41" s="167" t="s">
        <v>44</v>
      </c>
      <c r="T41" s="167"/>
      <c r="U41" s="167"/>
      <c r="V41" s="51"/>
    </row>
    <row r="42" spans="2:22" s="50" customFormat="1" ht="20.100000000000001" customHeight="1" x14ac:dyDescent="0.25">
      <c r="B42" s="42"/>
      <c r="C42" s="125"/>
      <c r="D42" s="125"/>
      <c r="E42" s="129"/>
      <c r="F42" s="125"/>
      <c r="G42" s="126"/>
      <c r="H42" s="126"/>
      <c r="I42" s="127" t="s">
        <v>41</v>
      </c>
      <c r="J42" s="55">
        <f>SUM(J35:J41)</f>
        <v>7405.1776000000009</v>
      </c>
      <c r="K42" s="51"/>
      <c r="L42" s="52"/>
      <c r="M42" s="78"/>
      <c r="N42" s="77"/>
      <c r="O42" s="77"/>
      <c r="P42" s="93"/>
      <c r="Q42" s="77"/>
      <c r="R42" s="77"/>
      <c r="S42" s="77"/>
      <c r="T42" s="77"/>
      <c r="U42" s="77"/>
      <c r="V42" s="49"/>
    </row>
    <row r="43" spans="2:22" s="115" customFormat="1" ht="20.100000000000001" customHeight="1" x14ac:dyDescent="0.2">
      <c r="B43" s="112"/>
      <c r="C43" s="35">
        <v>4</v>
      </c>
      <c r="D43" s="35"/>
      <c r="E43" s="59"/>
      <c r="F43" s="121" t="s">
        <v>231</v>
      </c>
      <c r="G43" s="121"/>
      <c r="H43" s="122"/>
      <c r="I43" s="123"/>
      <c r="J43" s="123"/>
      <c r="K43" s="18"/>
      <c r="L43" s="19"/>
      <c r="M43" s="76"/>
      <c r="N43" s="113"/>
      <c r="O43" s="113"/>
      <c r="P43" s="113"/>
      <c r="Q43" s="113"/>
      <c r="R43" s="113"/>
      <c r="S43" s="113"/>
      <c r="T43" s="113"/>
      <c r="U43" s="113"/>
      <c r="V43" s="114"/>
    </row>
    <row r="44" spans="2:22" s="8" customFormat="1" ht="20.100000000000001" customHeight="1" x14ac:dyDescent="0.2">
      <c r="B44" s="56"/>
      <c r="C44" s="39" t="s">
        <v>11</v>
      </c>
      <c r="D44" s="39"/>
      <c r="E44" s="58"/>
      <c r="F44" s="124" t="s">
        <v>25</v>
      </c>
      <c r="G44" s="125"/>
      <c r="H44" s="126"/>
      <c r="I44" s="127"/>
      <c r="J44" s="127"/>
      <c r="K44" s="18"/>
      <c r="L44" s="19"/>
      <c r="M44" s="76"/>
      <c r="N44" s="34"/>
      <c r="O44" s="34"/>
      <c r="P44" s="34"/>
      <c r="Q44" s="34"/>
      <c r="R44" s="34"/>
      <c r="S44" s="34"/>
      <c r="T44" s="34"/>
      <c r="U44" s="34"/>
      <c r="V44" s="79"/>
    </row>
    <row r="45" spans="2:22" s="62" customFormat="1" ht="50.1" customHeight="1" x14ac:dyDescent="0.2">
      <c r="B45" s="61"/>
      <c r="C45" s="43" t="s">
        <v>12</v>
      </c>
      <c r="D45" s="43">
        <v>79480</v>
      </c>
      <c r="E45" s="44" t="s">
        <v>44</v>
      </c>
      <c r="F45" s="128" t="s">
        <v>48</v>
      </c>
      <c r="G45" s="46" t="s">
        <v>34</v>
      </c>
      <c r="H45" s="47">
        <f>135/3</f>
        <v>45</v>
      </c>
      <c r="I45" s="48">
        <v>2.23</v>
      </c>
      <c r="J45" s="48">
        <f t="shared" ref="J45:J46" si="4">I45*H45</f>
        <v>100.35</v>
      </c>
      <c r="K45" s="51"/>
      <c r="L45" s="52"/>
      <c r="M45" s="78"/>
      <c r="N45" s="81"/>
      <c r="O45" s="167" t="s">
        <v>44</v>
      </c>
      <c r="P45" s="167"/>
      <c r="Q45" s="167"/>
      <c r="R45" s="81"/>
      <c r="S45" s="167" t="s">
        <v>44</v>
      </c>
      <c r="T45" s="167"/>
      <c r="U45" s="167"/>
      <c r="V45" s="51"/>
    </row>
    <row r="46" spans="2:22" s="62" customFormat="1" ht="50.1" customHeight="1" x14ac:dyDescent="0.2">
      <c r="B46" s="61"/>
      <c r="C46" s="43" t="s">
        <v>28</v>
      </c>
      <c r="D46" s="43">
        <v>93382</v>
      </c>
      <c r="E46" s="44" t="s">
        <v>44</v>
      </c>
      <c r="F46" s="128" t="s">
        <v>278</v>
      </c>
      <c r="G46" s="46" t="s">
        <v>34</v>
      </c>
      <c r="H46" s="47">
        <f>135/3</f>
        <v>45</v>
      </c>
      <c r="I46" s="48">
        <v>27.54</v>
      </c>
      <c r="J46" s="48">
        <f t="shared" si="4"/>
        <v>1239.3</v>
      </c>
      <c r="K46" s="51"/>
      <c r="L46" s="57"/>
      <c r="M46" s="80"/>
      <c r="N46" s="81"/>
      <c r="O46" s="167" t="s">
        <v>44</v>
      </c>
      <c r="P46" s="167"/>
      <c r="Q46" s="167"/>
      <c r="R46" s="81"/>
      <c r="S46" s="167" t="s">
        <v>44</v>
      </c>
      <c r="T46" s="167"/>
      <c r="U46" s="167"/>
      <c r="V46" s="51"/>
    </row>
    <row r="47" spans="2:22" s="50" customFormat="1" ht="20.100000000000001" customHeight="1" x14ac:dyDescent="0.2">
      <c r="B47" s="42"/>
      <c r="C47" s="125"/>
      <c r="D47" s="125"/>
      <c r="E47" s="129"/>
      <c r="F47" s="125"/>
      <c r="G47" s="126"/>
      <c r="H47" s="126"/>
      <c r="I47" s="127" t="s">
        <v>41</v>
      </c>
      <c r="J47" s="55">
        <f>SUM(J44:J46)</f>
        <v>1339.6499999999999</v>
      </c>
      <c r="K47" s="51"/>
      <c r="L47" s="52"/>
      <c r="M47" s="78"/>
      <c r="N47" s="77"/>
      <c r="O47" s="77"/>
      <c r="P47" s="77"/>
      <c r="Q47" s="77"/>
      <c r="R47" s="77"/>
      <c r="S47" s="77"/>
      <c r="T47" s="77"/>
      <c r="U47" s="77"/>
      <c r="V47" s="49"/>
    </row>
    <row r="48" spans="2:22" s="115" customFormat="1" ht="20.100000000000001" customHeight="1" x14ac:dyDescent="0.2">
      <c r="B48" s="112"/>
      <c r="C48" s="35">
        <v>5</v>
      </c>
      <c r="D48" s="35"/>
      <c r="E48" s="59"/>
      <c r="F48" s="121" t="s">
        <v>232</v>
      </c>
      <c r="G48" s="121"/>
      <c r="H48" s="122"/>
      <c r="I48" s="123"/>
      <c r="J48" s="123"/>
      <c r="K48" s="18"/>
      <c r="L48" s="19"/>
      <c r="M48" s="76"/>
      <c r="N48" s="113"/>
      <c r="O48" s="113"/>
      <c r="P48" s="113"/>
      <c r="Q48" s="113"/>
      <c r="R48" s="113"/>
      <c r="S48" s="113"/>
      <c r="T48" s="113"/>
      <c r="U48" s="113"/>
      <c r="V48" s="114"/>
    </row>
    <row r="49" spans="2:22" s="8" customFormat="1" ht="20.100000000000001" customHeight="1" x14ac:dyDescent="0.2">
      <c r="B49" s="56"/>
      <c r="C49" s="39" t="s">
        <v>13</v>
      </c>
      <c r="D49" s="39"/>
      <c r="E49" s="58"/>
      <c r="F49" s="124" t="s">
        <v>20</v>
      </c>
      <c r="G49" s="125"/>
      <c r="H49" s="126"/>
      <c r="I49" s="127"/>
      <c r="J49" s="127"/>
      <c r="K49" s="18"/>
      <c r="L49" s="19"/>
      <c r="M49" s="76"/>
      <c r="N49" s="34"/>
      <c r="O49" s="34"/>
      <c r="P49" s="34"/>
      <c r="Q49" s="34"/>
      <c r="R49" s="34"/>
      <c r="S49" s="34"/>
      <c r="T49" s="34"/>
      <c r="U49" s="34"/>
      <c r="V49" s="79"/>
    </row>
    <row r="50" spans="2:22" s="62" customFormat="1" ht="50.1" customHeight="1" x14ac:dyDescent="0.2">
      <c r="B50" s="61"/>
      <c r="C50" s="43" t="s">
        <v>19</v>
      </c>
      <c r="D50" s="43">
        <v>79480</v>
      </c>
      <c r="E50" s="44" t="s">
        <v>44</v>
      </c>
      <c r="F50" s="128" t="s">
        <v>48</v>
      </c>
      <c r="G50" s="46" t="s">
        <v>34</v>
      </c>
      <c r="H50" s="47">
        <f>108/3</f>
        <v>36</v>
      </c>
      <c r="I50" s="48">
        <v>2.23</v>
      </c>
      <c r="J50" s="48">
        <f t="shared" ref="J50:J51" si="5">I50*H50</f>
        <v>80.28</v>
      </c>
      <c r="K50" s="51"/>
      <c r="L50" s="52"/>
      <c r="M50" s="78"/>
      <c r="N50" s="81"/>
      <c r="O50" s="167" t="s">
        <v>44</v>
      </c>
      <c r="P50" s="167"/>
      <c r="Q50" s="167"/>
      <c r="R50" s="81"/>
      <c r="S50" s="167" t="s">
        <v>44</v>
      </c>
      <c r="T50" s="167"/>
      <c r="U50" s="167"/>
      <c r="V50" s="51"/>
    </row>
    <row r="51" spans="2:22" s="62" customFormat="1" ht="50.1" customHeight="1" x14ac:dyDescent="0.2">
      <c r="B51" s="61"/>
      <c r="C51" s="43" t="s">
        <v>26</v>
      </c>
      <c r="D51" s="43">
        <v>93382</v>
      </c>
      <c r="E51" s="44" t="s">
        <v>44</v>
      </c>
      <c r="F51" s="128" t="s">
        <v>278</v>
      </c>
      <c r="G51" s="46" t="s">
        <v>34</v>
      </c>
      <c r="H51" s="47">
        <f>108/3</f>
        <v>36</v>
      </c>
      <c r="I51" s="48">
        <v>56.79</v>
      </c>
      <c r="J51" s="48">
        <f t="shared" si="5"/>
        <v>2044.44</v>
      </c>
      <c r="K51" s="51"/>
      <c r="L51" s="57"/>
      <c r="M51" s="80"/>
      <c r="N51" s="81"/>
      <c r="O51" s="167" t="s">
        <v>44</v>
      </c>
      <c r="P51" s="167"/>
      <c r="Q51" s="167"/>
      <c r="R51" s="81"/>
      <c r="S51" s="167" t="s">
        <v>44</v>
      </c>
      <c r="T51" s="167"/>
      <c r="U51" s="167"/>
      <c r="V51" s="51"/>
    </row>
    <row r="52" spans="2:22" s="50" customFormat="1" ht="20.100000000000001" customHeight="1" x14ac:dyDescent="0.2">
      <c r="B52" s="42"/>
      <c r="C52" s="125"/>
      <c r="D52" s="125"/>
      <c r="E52" s="129"/>
      <c r="F52" s="125"/>
      <c r="G52" s="126"/>
      <c r="H52" s="126"/>
      <c r="I52" s="127" t="s">
        <v>41</v>
      </c>
      <c r="J52" s="55">
        <f>SUM(J49:J51)</f>
        <v>2124.7200000000003</v>
      </c>
      <c r="K52" s="51"/>
      <c r="L52" s="52"/>
      <c r="M52" s="78"/>
      <c r="N52" s="77"/>
      <c r="O52" s="77"/>
      <c r="P52" s="77"/>
      <c r="Q52" s="77"/>
      <c r="R52" s="77"/>
      <c r="S52" s="77"/>
      <c r="T52" s="77"/>
      <c r="U52" s="77"/>
      <c r="V52" s="49"/>
    </row>
    <row r="53" spans="2:22" s="50" customFormat="1" ht="20.100000000000001" customHeight="1" x14ac:dyDescent="0.2">
      <c r="B53" s="42"/>
      <c r="C53" s="125"/>
      <c r="D53" s="125"/>
      <c r="E53" s="129"/>
      <c r="F53" s="125"/>
      <c r="G53" s="126"/>
      <c r="H53" s="126"/>
      <c r="I53" s="127"/>
      <c r="J53" s="55"/>
      <c r="K53" s="51"/>
      <c r="L53" s="52"/>
      <c r="M53" s="78"/>
      <c r="N53" s="77"/>
      <c r="O53" s="77"/>
      <c r="P53" s="77"/>
      <c r="Q53" s="77"/>
      <c r="R53" s="77"/>
      <c r="S53" s="77"/>
      <c r="T53" s="77"/>
      <c r="U53" s="77"/>
      <c r="V53" s="49"/>
    </row>
    <row r="54" spans="2:22" s="50" customFormat="1" ht="20.100000000000001" customHeight="1" x14ac:dyDescent="0.2">
      <c r="B54" s="42"/>
      <c r="C54" s="39">
        <v>6</v>
      </c>
      <c r="D54" s="39"/>
      <c r="E54" s="58"/>
      <c r="F54" s="124" t="s">
        <v>382</v>
      </c>
      <c r="G54" s="125"/>
      <c r="H54" s="126"/>
      <c r="I54" s="127"/>
      <c r="J54" s="127"/>
      <c r="K54" s="51"/>
      <c r="L54" s="52"/>
      <c r="M54" s="78"/>
      <c r="N54" s="77"/>
      <c r="O54" s="77"/>
      <c r="P54" s="77"/>
      <c r="Q54" s="77"/>
      <c r="R54" s="77"/>
      <c r="S54" s="77"/>
      <c r="T54" s="77"/>
      <c r="U54" s="77"/>
      <c r="V54" s="49"/>
    </row>
    <row r="55" spans="2:22" s="50" customFormat="1" ht="20.100000000000001" customHeight="1" x14ac:dyDescent="0.2">
      <c r="B55" s="42"/>
      <c r="C55" s="43" t="s">
        <v>14</v>
      </c>
      <c r="D55" s="43"/>
      <c r="E55" s="44"/>
      <c r="F55" s="128" t="s">
        <v>381</v>
      </c>
      <c r="G55" s="46"/>
      <c r="H55" s="47"/>
      <c r="I55" s="136"/>
      <c r="J55" s="136"/>
      <c r="K55" s="51"/>
      <c r="L55" s="52"/>
      <c r="M55" s="78"/>
      <c r="N55" s="77"/>
      <c r="O55" s="77"/>
      <c r="P55" s="77"/>
      <c r="Q55" s="77"/>
      <c r="R55" s="77"/>
      <c r="S55" s="77"/>
      <c r="T55" s="77"/>
      <c r="U55" s="77"/>
      <c r="V55" s="49"/>
    </row>
    <row r="56" spans="2:22" s="50" customFormat="1" ht="49.5" customHeight="1" x14ac:dyDescent="0.2">
      <c r="B56" s="42"/>
      <c r="C56" s="43" t="s">
        <v>15</v>
      </c>
      <c r="D56" s="43">
        <v>92725</v>
      </c>
      <c r="E56" s="44" t="s">
        <v>44</v>
      </c>
      <c r="F56" s="128" t="s">
        <v>262</v>
      </c>
      <c r="G56" s="46" t="s">
        <v>34</v>
      </c>
      <c r="H56" s="47">
        <v>1100</v>
      </c>
      <c r="I56" s="136">
        <v>319.31</v>
      </c>
      <c r="J56" s="136">
        <f t="shared" ref="J56" si="6">I56*H56</f>
        <v>351241</v>
      </c>
      <c r="K56" s="51"/>
      <c r="L56" s="52"/>
      <c r="M56" s="78"/>
      <c r="N56" s="77"/>
      <c r="O56" s="167" t="s">
        <v>44</v>
      </c>
      <c r="P56" s="167"/>
      <c r="Q56" s="167"/>
      <c r="R56" s="81"/>
      <c r="S56" s="167" t="s">
        <v>44</v>
      </c>
      <c r="T56" s="167"/>
      <c r="U56" s="167"/>
      <c r="V56" s="49"/>
    </row>
    <row r="57" spans="2:22" s="50" customFormat="1" ht="20.100000000000001" customHeight="1" x14ac:dyDescent="0.2">
      <c r="B57" s="42"/>
      <c r="C57" s="125"/>
      <c r="D57" s="125"/>
      <c r="E57" s="129"/>
      <c r="F57" s="125"/>
      <c r="G57" s="126"/>
      <c r="H57" s="126"/>
      <c r="I57" s="127" t="s">
        <v>41</v>
      </c>
      <c r="J57" s="55">
        <f>SUM(J55:J56)</f>
        <v>351241</v>
      </c>
      <c r="K57" s="51"/>
      <c r="L57" s="52"/>
      <c r="M57" s="78"/>
      <c r="N57" s="77"/>
      <c r="O57" s="77"/>
      <c r="P57" s="77"/>
      <c r="Q57" s="77"/>
      <c r="R57" s="77"/>
      <c r="S57" s="77"/>
      <c r="T57" s="77"/>
      <c r="U57" s="77"/>
      <c r="V57" s="49"/>
    </row>
    <row r="58" spans="2:22" s="33" customFormat="1" ht="20.100000000000001" customHeight="1" x14ac:dyDescent="0.2">
      <c r="B58" s="26"/>
      <c r="C58" s="35">
        <v>7</v>
      </c>
      <c r="D58" s="35"/>
      <c r="E58" s="59"/>
      <c r="F58" s="121" t="s">
        <v>24</v>
      </c>
      <c r="G58" s="121"/>
      <c r="H58" s="122"/>
      <c r="I58" s="123"/>
      <c r="J58" s="123"/>
      <c r="K58" s="18"/>
      <c r="L58" s="19"/>
      <c r="M58" s="76"/>
      <c r="N58" s="32"/>
      <c r="O58" s="32"/>
      <c r="P58" s="32"/>
      <c r="Q58" s="32"/>
      <c r="R58" s="32"/>
      <c r="S58" s="32"/>
      <c r="T58" s="32"/>
      <c r="U58" s="32"/>
      <c r="V58" s="31"/>
    </row>
    <row r="59" spans="2:22" s="102" customFormat="1" ht="20.100000000000001" customHeight="1" x14ac:dyDescent="0.2">
      <c r="B59" s="100"/>
      <c r="C59" s="39" t="s">
        <v>292</v>
      </c>
      <c r="D59" s="39"/>
      <c r="E59" s="58"/>
      <c r="F59" s="125" t="s">
        <v>16</v>
      </c>
      <c r="G59" s="125"/>
      <c r="H59" s="126"/>
      <c r="I59" s="127"/>
      <c r="J59" s="127"/>
      <c r="K59" s="18"/>
      <c r="L59" s="19"/>
      <c r="M59" s="76"/>
      <c r="N59" s="16"/>
      <c r="O59" s="16"/>
      <c r="P59" s="16"/>
      <c r="Q59" s="16"/>
      <c r="R59" s="16"/>
      <c r="S59" s="16"/>
      <c r="T59" s="16"/>
      <c r="U59" s="16"/>
      <c r="V59" s="101"/>
    </row>
    <row r="60" spans="2:22" s="62" customFormat="1" ht="50.1" customHeight="1" x14ac:dyDescent="0.2">
      <c r="B60" s="61"/>
      <c r="C60" s="43" t="s">
        <v>21</v>
      </c>
      <c r="D60" s="43">
        <v>2120</v>
      </c>
      <c r="E60" s="44" t="s">
        <v>44</v>
      </c>
      <c r="F60" s="128" t="s">
        <v>277</v>
      </c>
      <c r="G60" s="46" t="s">
        <v>5</v>
      </c>
      <c r="H60" s="47">
        <f>H19</f>
        <v>960</v>
      </c>
      <c r="I60" s="48">
        <v>11.61</v>
      </c>
      <c r="J60" s="48">
        <f>I60*H60</f>
        <v>11145.599999999999</v>
      </c>
      <c r="K60" s="51"/>
      <c r="L60" s="57"/>
      <c r="M60" s="80"/>
      <c r="N60" s="81"/>
      <c r="O60" s="167" t="s">
        <v>44</v>
      </c>
      <c r="P60" s="167"/>
      <c r="Q60" s="167"/>
      <c r="R60" s="81"/>
      <c r="S60" s="167" t="s">
        <v>44</v>
      </c>
      <c r="T60" s="167"/>
      <c r="U60" s="167"/>
      <c r="V60" s="51"/>
    </row>
    <row r="61" spans="2:22" s="62" customFormat="1" ht="20.100000000000001" customHeight="1" x14ac:dyDescent="0.2">
      <c r="B61" s="61"/>
      <c r="C61" s="125"/>
      <c r="D61" s="125"/>
      <c r="E61" s="129"/>
      <c r="F61" s="125"/>
      <c r="G61" s="126"/>
      <c r="H61" s="126"/>
      <c r="I61" s="127" t="s">
        <v>41</v>
      </c>
      <c r="J61" s="55">
        <f>SUM(J59:J60)</f>
        <v>11145.599999999999</v>
      </c>
      <c r="K61" s="51"/>
      <c r="L61" s="52"/>
      <c r="M61" s="78"/>
      <c r="N61" s="81"/>
      <c r="O61" s="81"/>
      <c r="P61" s="81"/>
      <c r="Q61" s="81"/>
      <c r="R61" s="81"/>
      <c r="S61" s="81"/>
      <c r="T61" s="81"/>
      <c r="U61" s="81"/>
      <c r="V61" s="51"/>
    </row>
    <row r="62" spans="2:22" s="102" customFormat="1" ht="20.100000000000001" customHeight="1" x14ac:dyDescent="0.2">
      <c r="B62" s="100"/>
      <c r="C62" s="39" t="s">
        <v>390</v>
      </c>
      <c r="D62" s="39"/>
      <c r="E62" s="58"/>
      <c r="F62" s="125" t="s">
        <v>197</v>
      </c>
      <c r="G62" s="125"/>
      <c r="H62" s="126"/>
      <c r="I62" s="127"/>
      <c r="J62" s="127"/>
      <c r="K62" s="18"/>
      <c r="L62" s="19"/>
      <c r="M62" s="76"/>
      <c r="N62" s="16"/>
      <c r="O62" s="16"/>
      <c r="P62" s="16"/>
      <c r="Q62" s="16"/>
      <c r="R62" s="16"/>
      <c r="S62" s="16"/>
      <c r="T62" s="16"/>
      <c r="U62" s="16"/>
      <c r="V62" s="101"/>
    </row>
    <row r="63" spans="2:22" s="62" customFormat="1" ht="50.1" customHeight="1" x14ac:dyDescent="0.2">
      <c r="B63" s="61"/>
      <c r="C63" s="43" t="s">
        <v>391</v>
      </c>
      <c r="D63" s="43">
        <v>5318</v>
      </c>
      <c r="E63" s="44" t="s">
        <v>44</v>
      </c>
      <c r="F63" s="128" t="s">
        <v>83</v>
      </c>
      <c r="G63" s="46" t="s">
        <v>89</v>
      </c>
      <c r="H63" s="47">
        <v>10</v>
      </c>
      <c r="I63" s="48">
        <v>13.78</v>
      </c>
      <c r="J63" s="48">
        <f t="shared" ref="J63:J68" si="7">H63*I63</f>
        <v>137.79999999999998</v>
      </c>
      <c r="K63" s="51"/>
      <c r="L63" s="57"/>
      <c r="M63" s="80"/>
      <c r="N63" s="81"/>
      <c r="O63" s="167" t="s">
        <v>44</v>
      </c>
      <c r="P63" s="167"/>
      <c r="Q63" s="167"/>
      <c r="R63" s="81"/>
      <c r="S63" s="167" t="s">
        <v>44</v>
      </c>
      <c r="T63" s="167"/>
      <c r="U63" s="167"/>
      <c r="V63" s="51"/>
    </row>
    <row r="64" spans="2:22" s="62" customFormat="1" ht="50.1" customHeight="1" x14ac:dyDescent="0.2">
      <c r="B64" s="61"/>
      <c r="C64" s="43" t="s">
        <v>392</v>
      </c>
      <c r="D64" s="43">
        <v>38386</v>
      </c>
      <c r="E64" s="44" t="s">
        <v>44</v>
      </c>
      <c r="F64" s="128" t="s">
        <v>84</v>
      </c>
      <c r="G64" s="46" t="s">
        <v>58</v>
      </c>
      <c r="H64" s="47">
        <v>10</v>
      </c>
      <c r="I64" s="48">
        <v>4.8499999999999996</v>
      </c>
      <c r="J64" s="48">
        <f t="shared" si="7"/>
        <v>48.5</v>
      </c>
      <c r="K64" s="51"/>
      <c r="L64" s="57"/>
      <c r="M64" s="80"/>
      <c r="N64" s="81"/>
      <c r="O64" s="167" t="s">
        <v>44</v>
      </c>
      <c r="P64" s="167"/>
      <c r="Q64" s="167"/>
      <c r="R64" s="81"/>
      <c r="S64" s="167" t="s">
        <v>44</v>
      </c>
      <c r="T64" s="167"/>
      <c r="U64" s="167"/>
      <c r="V64" s="51"/>
    </row>
    <row r="65" spans="2:22" s="62" customFormat="1" ht="50.1" customHeight="1" x14ac:dyDescent="0.2">
      <c r="B65" s="61"/>
      <c r="C65" s="43" t="s">
        <v>393</v>
      </c>
      <c r="D65" s="43">
        <v>38393</v>
      </c>
      <c r="E65" s="44" t="s">
        <v>44</v>
      </c>
      <c r="F65" s="128" t="s">
        <v>174</v>
      </c>
      <c r="G65" s="46" t="s">
        <v>58</v>
      </c>
      <c r="H65" s="47">
        <v>10</v>
      </c>
      <c r="I65" s="48">
        <v>15</v>
      </c>
      <c r="J65" s="48">
        <f t="shared" si="7"/>
        <v>150</v>
      </c>
      <c r="K65" s="51"/>
      <c r="L65" s="57"/>
      <c r="M65" s="80"/>
      <c r="N65" s="81"/>
      <c r="O65" s="167" t="s">
        <v>44</v>
      </c>
      <c r="P65" s="167"/>
      <c r="Q65" s="167"/>
      <c r="R65" s="81"/>
      <c r="S65" s="167" t="s">
        <v>44</v>
      </c>
      <c r="T65" s="167"/>
      <c r="U65" s="167"/>
      <c r="V65" s="51"/>
    </row>
    <row r="66" spans="2:22" s="62" customFormat="1" ht="50.1" customHeight="1" x14ac:dyDescent="0.2">
      <c r="B66" s="61"/>
      <c r="C66" s="43" t="s">
        <v>394</v>
      </c>
      <c r="D66" s="43">
        <v>25966</v>
      </c>
      <c r="E66" s="44" t="s">
        <v>44</v>
      </c>
      <c r="F66" s="128" t="s">
        <v>85</v>
      </c>
      <c r="G66" s="46" t="s">
        <v>89</v>
      </c>
      <c r="H66" s="47">
        <v>10</v>
      </c>
      <c r="I66" s="48">
        <v>18.52</v>
      </c>
      <c r="J66" s="48">
        <f t="shared" si="7"/>
        <v>185.2</v>
      </c>
      <c r="K66" s="51"/>
      <c r="L66" s="57"/>
      <c r="M66" s="80"/>
      <c r="N66" s="81"/>
      <c r="O66" s="167" t="s">
        <v>44</v>
      </c>
      <c r="P66" s="167"/>
      <c r="Q66" s="167"/>
      <c r="R66" s="81"/>
      <c r="S66" s="167" t="s">
        <v>44</v>
      </c>
      <c r="T66" s="167"/>
      <c r="U66" s="167"/>
      <c r="V66" s="51"/>
    </row>
    <row r="67" spans="2:22" s="62" customFormat="1" ht="50.1" customHeight="1" x14ac:dyDescent="0.2">
      <c r="B67" s="61"/>
      <c r="C67" s="43" t="s">
        <v>395</v>
      </c>
      <c r="D67" s="43">
        <v>7288</v>
      </c>
      <c r="E67" s="44" t="s">
        <v>44</v>
      </c>
      <c r="F67" s="128" t="s">
        <v>86</v>
      </c>
      <c r="G67" s="46" t="s">
        <v>89</v>
      </c>
      <c r="H67" s="47">
        <v>138</v>
      </c>
      <c r="I67" s="48">
        <v>27.63</v>
      </c>
      <c r="J67" s="48">
        <f t="shared" si="7"/>
        <v>3812.94</v>
      </c>
      <c r="K67" s="51"/>
      <c r="L67" s="57"/>
      <c r="M67" s="80"/>
      <c r="N67" s="81"/>
      <c r="O67" s="167" t="s">
        <v>44</v>
      </c>
      <c r="P67" s="167"/>
      <c r="Q67" s="167"/>
      <c r="R67" s="81"/>
      <c r="S67" s="167" t="s">
        <v>44</v>
      </c>
      <c r="T67" s="167"/>
      <c r="U67" s="167"/>
      <c r="V67" s="51"/>
    </row>
    <row r="68" spans="2:22" s="62" customFormat="1" ht="50.1" customHeight="1" x14ac:dyDescent="0.2">
      <c r="B68" s="61"/>
      <c r="C68" s="43" t="s">
        <v>396</v>
      </c>
      <c r="D68" s="43">
        <v>12815</v>
      </c>
      <c r="E68" s="44" t="s">
        <v>44</v>
      </c>
      <c r="F68" s="128" t="s">
        <v>87</v>
      </c>
      <c r="G68" s="46" t="s">
        <v>58</v>
      </c>
      <c r="H68" s="47">
        <v>10</v>
      </c>
      <c r="I68" s="48">
        <v>8.4600000000000009</v>
      </c>
      <c r="J68" s="48">
        <f t="shared" si="7"/>
        <v>84.600000000000009</v>
      </c>
      <c r="K68" s="51"/>
      <c r="L68" s="57"/>
      <c r="M68" s="80"/>
      <c r="N68" s="81"/>
      <c r="O68" s="167" t="s">
        <v>44</v>
      </c>
      <c r="P68" s="167"/>
      <c r="Q68" s="167"/>
      <c r="R68" s="81"/>
      <c r="S68" s="167" t="s">
        <v>44</v>
      </c>
      <c r="T68" s="167"/>
      <c r="U68" s="167"/>
      <c r="V68" s="51"/>
    </row>
    <row r="69" spans="2:22" s="62" customFormat="1" ht="50.1" customHeight="1" x14ac:dyDescent="0.2">
      <c r="B69" s="61"/>
      <c r="C69" s="43" t="s">
        <v>397</v>
      </c>
      <c r="D69" s="43">
        <v>122</v>
      </c>
      <c r="E69" s="44" t="s">
        <v>44</v>
      </c>
      <c r="F69" s="128" t="s">
        <v>79</v>
      </c>
      <c r="G69" s="46" t="s">
        <v>58</v>
      </c>
      <c r="H69" s="47">
        <v>2</v>
      </c>
      <c r="I69" s="48">
        <v>54.11</v>
      </c>
      <c r="J69" s="48">
        <f t="shared" ref="J69:J72" si="8">H69*I69</f>
        <v>108.22</v>
      </c>
      <c r="K69" s="51"/>
      <c r="L69" s="57"/>
      <c r="M69" s="80"/>
      <c r="N69" s="81"/>
      <c r="O69" s="167" t="s">
        <v>44</v>
      </c>
      <c r="P69" s="167"/>
      <c r="Q69" s="167"/>
      <c r="R69" s="81"/>
      <c r="S69" s="167" t="s">
        <v>44</v>
      </c>
      <c r="T69" s="167"/>
      <c r="U69" s="167"/>
      <c r="V69" s="51"/>
    </row>
    <row r="70" spans="2:22" s="62" customFormat="1" ht="50.1" customHeight="1" x14ac:dyDescent="0.2">
      <c r="B70" s="61"/>
      <c r="C70" s="43" t="s">
        <v>398</v>
      </c>
      <c r="D70" s="43">
        <v>3148</v>
      </c>
      <c r="E70" s="44" t="s">
        <v>44</v>
      </c>
      <c r="F70" s="128" t="s">
        <v>80</v>
      </c>
      <c r="G70" s="46" t="s">
        <v>58</v>
      </c>
      <c r="H70" s="47">
        <v>40</v>
      </c>
      <c r="I70" s="48">
        <v>8.4</v>
      </c>
      <c r="J70" s="48">
        <f t="shared" si="8"/>
        <v>336</v>
      </c>
      <c r="K70" s="51"/>
      <c r="L70" s="57"/>
      <c r="M70" s="80"/>
      <c r="N70" s="81"/>
      <c r="O70" s="167" t="s">
        <v>44</v>
      </c>
      <c r="P70" s="167"/>
      <c r="Q70" s="167"/>
      <c r="R70" s="81"/>
      <c r="S70" s="167" t="s">
        <v>44</v>
      </c>
      <c r="T70" s="167"/>
      <c r="U70" s="167"/>
      <c r="V70" s="51"/>
    </row>
    <row r="71" spans="2:22" s="62" customFormat="1" ht="50.1" customHeight="1" x14ac:dyDescent="0.2">
      <c r="B71" s="61"/>
      <c r="C71" s="43" t="s">
        <v>399</v>
      </c>
      <c r="D71" s="43">
        <v>38383</v>
      </c>
      <c r="E71" s="44" t="s">
        <v>44</v>
      </c>
      <c r="F71" s="128" t="s">
        <v>81</v>
      </c>
      <c r="G71" s="46" t="s">
        <v>58</v>
      </c>
      <c r="H71" s="47">
        <v>50</v>
      </c>
      <c r="I71" s="48">
        <v>2.06</v>
      </c>
      <c r="J71" s="48">
        <f t="shared" si="8"/>
        <v>103</v>
      </c>
      <c r="K71" s="51"/>
      <c r="L71" s="57"/>
      <c r="M71" s="80"/>
      <c r="N71" s="81"/>
      <c r="O71" s="167" t="s">
        <v>44</v>
      </c>
      <c r="P71" s="167"/>
      <c r="Q71" s="167"/>
      <c r="R71" s="81"/>
      <c r="S71" s="167" t="s">
        <v>44</v>
      </c>
      <c r="T71" s="167"/>
      <c r="U71" s="167"/>
      <c r="V71" s="51"/>
    </row>
    <row r="72" spans="2:22" s="62" customFormat="1" ht="50.1" customHeight="1" x14ac:dyDescent="0.2">
      <c r="B72" s="61"/>
      <c r="C72" s="43" t="s">
        <v>400</v>
      </c>
      <c r="D72" s="43">
        <v>20078</v>
      </c>
      <c r="E72" s="44" t="s">
        <v>44</v>
      </c>
      <c r="F72" s="128" t="s">
        <v>82</v>
      </c>
      <c r="G72" s="46" t="s">
        <v>58</v>
      </c>
      <c r="H72" s="47">
        <v>10</v>
      </c>
      <c r="I72" s="48">
        <v>19.809999999999999</v>
      </c>
      <c r="J72" s="48">
        <f t="shared" si="8"/>
        <v>198.1</v>
      </c>
      <c r="K72" s="51"/>
      <c r="L72" s="57"/>
      <c r="M72" s="80"/>
      <c r="N72" s="81"/>
      <c r="O72" s="167" t="s">
        <v>44</v>
      </c>
      <c r="P72" s="167"/>
      <c r="Q72" s="167"/>
      <c r="R72" s="81"/>
      <c r="S72" s="167" t="s">
        <v>44</v>
      </c>
      <c r="T72" s="167"/>
      <c r="U72" s="167"/>
      <c r="V72" s="51"/>
    </row>
    <row r="73" spans="2:22" s="50" customFormat="1" ht="20.100000000000001" customHeight="1" x14ac:dyDescent="0.2">
      <c r="B73" s="42"/>
      <c r="C73" s="53"/>
      <c r="D73" s="53"/>
      <c r="E73" s="54"/>
      <c r="F73" s="53"/>
      <c r="G73" s="108"/>
      <c r="H73" s="108"/>
      <c r="I73" s="98" t="s">
        <v>41</v>
      </c>
      <c r="J73" s="55">
        <f>SUM(J62:J72)</f>
        <v>5164.3600000000015</v>
      </c>
      <c r="K73" s="51"/>
      <c r="L73" s="52"/>
      <c r="M73" s="78"/>
      <c r="N73" s="77"/>
      <c r="O73" s="77"/>
      <c r="P73" s="77"/>
      <c r="Q73" s="77"/>
      <c r="R73" s="77"/>
      <c r="S73" s="77"/>
      <c r="T73" s="77"/>
      <c r="U73" s="77"/>
      <c r="V73" s="49"/>
    </row>
    <row r="74" spans="2:22" x14ac:dyDescent="0.2">
      <c r="B74" s="17"/>
      <c r="C74" s="2"/>
      <c r="D74" s="2"/>
      <c r="E74" s="3"/>
      <c r="F74" s="4"/>
      <c r="G74" s="63"/>
      <c r="H74" s="109"/>
      <c r="I74" s="64"/>
      <c r="J74" s="64"/>
      <c r="K74" s="25"/>
      <c r="M74" s="56"/>
      <c r="N74" s="4"/>
      <c r="O74" s="4"/>
      <c r="P74" s="4"/>
      <c r="Q74" s="4"/>
      <c r="R74" s="4"/>
      <c r="S74" s="4"/>
      <c r="T74" s="4"/>
      <c r="U74" s="4"/>
      <c r="V74" s="25"/>
    </row>
    <row r="75" spans="2:22" x14ac:dyDescent="0.2">
      <c r="B75" s="17"/>
      <c r="C75" s="35">
        <v>8</v>
      </c>
      <c r="D75" s="35"/>
      <c r="E75" s="59"/>
      <c r="F75" s="36" t="s">
        <v>57</v>
      </c>
      <c r="G75" s="37"/>
      <c r="H75" s="106"/>
      <c r="I75" s="96"/>
      <c r="J75" s="38"/>
      <c r="K75" s="25"/>
      <c r="M75" s="56"/>
      <c r="N75" s="4"/>
      <c r="O75" s="113"/>
      <c r="P75" s="113"/>
      <c r="Q75" s="113"/>
      <c r="R75" s="113"/>
      <c r="S75" s="113"/>
      <c r="T75" s="113"/>
      <c r="U75" s="113"/>
      <c r="V75" s="25"/>
    </row>
    <row r="76" spans="2:22" x14ac:dyDescent="0.2">
      <c r="B76" s="17"/>
      <c r="C76" s="39" t="s">
        <v>59</v>
      </c>
      <c r="D76" s="39"/>
      <c r="E76" s="58"/>
      <c r="F76" s="60" t="s">
        <v>57</v>
      </c>
      <c r="G76" s="40"/>
      <c r="H76" s="107"/>
      <c r="I76" s="97"/>
      <c r="J76" s="41"/>
      <c r="K76" s="25"/>
      <c r="M76" s="56"/>
      <c r="N76" s="4"/>
      <c r="O76" s="16"/>
      <c r="P76" s="16"/>
      <c r="Q76" s="16"/>
      <c r="R76" s="16"/>
      <c r="S76" s="16"/>
      <c r="T76" s="16"/>
      <c r="U76" s="16"/>
      <c r="V76" s="25"/>
    </row>
    <row r="77" spans="2:22" ht="49.5" customHeight="1" x14ac:dyDescent="0.2">
      <c r="B77" s="17"/>
      <c r="C77" s="43" t="s">
        <v>60</v>
      </c>
      <c r="D77" s="43">
        <v>88547</v>
      </c>
      <c r="E77" s="44" t="s">
        <v>44</v>
      </c>
      <c r="F77" s="45" t="s">
        <v>175</v>
      </c>
      <c r="G77" s="46" t="s">
        <v>58</v>
      </c>
      <c r="H77" s="47">
        <v>3</v>
      </c>
      <c r="I77" s="130">
        <v>72.319999999999993</v>
      </c>
      <c r="J77" s="130">
        <f t="shared" ref="J77:J90" si="9">H77*I77</f>
        <v>216.95999999999998</v>
      </c>
      <c r="K77" s="25"/>
      <c r="M77" s="56"/>
      <c r="N77" s="4"/>
      <c r="O77" s="168" t="s">
        <v>44</v>
      </c>
      <c r="P77" s="169"/>
      <c r="Q77" s="170"/>
      <c r="R77" s="81"/>
      <c r="S77" s="168" t="s">
        <v>44</v>
      </c>
      <c r="T77" s="169"/>
      <c r="U77" s="170"/>
      <c r="V77" s="25"/>
    </row>
    <row r="78" spans="2:22" ht="49.5" customHeight="1" x14ac:dyDescent="0.2">
      <c r="B78" s="17"/>
      <c r="C78" s="43" t="s">
        <v>370</v>
      </c>
      <c r="D78" s="43"/>
      <c r="E78" s="44" t="s">
        <v>198</v>
      </c>
      <c r="F78" s="45" t="s">
        <v>377</v>
      </c>
      <c r="G78" s="46" t="s">
        <v>58</v>
      </c>
      <c r="H78" s="47">
        <v>9</v>
      </c>
      <c r="I78" s="130">
        <f>AVERAGE(S78:U78)</f>
        <v>79425</v>
      </c>
      <c r="J78" s="130">
        <f t="shared" si="9"/>
        <v>714825</v>
      </c>
      <c r="K78" s="25"/>
      <c r="M78" s="56"/>
      <c r="N78" s="4"/>
      <c r="O78" s="145" t="s">
        <v>379</v>
      </c>
      <c r="P78" s="145" t="s">
        <v>293</v>
      </c>
      <c r="Q78" s="117" t="s">
        <v>185</v>
      </c>
      <c r="R78" s="81"/>
      <c r="S78" s="145">
        <v>98620</v>
      </c>
      <c r="T78" s="145">
        <v>68800</v>
      </c>
      <c r="U78" s="145">
        <f>66880+3975</f>
        <v>70855</v>
      </c>
      <c r="V78" s="25"/>
    </row>
    <row r="79" spans="2:22" ht="49.5" customHeight="1" x14ac:dyDescent="0.2">
      <c r="B79" s="17"/>
      <c r="C79" s="43" t="s">
        <v>371</v>
      </c>
      <c r="D79" s="43"/>
      <c r="E79" s="44" t="s">
        <v>198</v>
      </c>
      <c r="F79" s="45" t="s">
        <v>378</v>
      </c>
      <c r="G79" s="46" t="s">
        <v>58</v>
      </c>
      <c r="H79" s="47">
        <v>1</v>
      </c>
      <c r="I79" s="130">
        <f>AVERAGE(S79:U79)</f>
        <v>102833.33333333333</v>
      </c>
      <c r="J79" s="130">
        <f t="shared" si="9"/>
        <v>102833.33333333333</v>
      </c>
      <c r="K79" s="25"/>
      <c r="M79" s="56"/>
      <c r="N79" s="4"/>
      <c r="O79" s="145" t="s">
        <v>379</v>
      </c>
      <c r="P79" s="145" t="s">
        <v>293</v>
      </c>
      <c r="Q79" s="117" t="s">
        <v>185</v>
      </c>
      <c r="R79" s="81"/>
      <c r="S79" s="145">
        <v>89500</v>
      </c>
      <c r="T79" s="145">
        <v>107000</v>
      </c>
      <c r="U79" s="145">
        <v>112000</v>
      </c>
      <c r="V79" s="25"/>
    </row>
    <row r="80" spans="2:22" ht="60" x14ac:dyDescent="0.2">
      <c r="B80" s="17"/>
      <c r="C80" s="43" t="s">
        <v>372</v>
      </c>
      <c r="D80" s="43"/>
      <c r="E80" s="44" t="s">
        <v>198</v>
      </c>
      <c r="F80" s="45" t="s">
        <v>281</v>
      </c>
      <c r="G80" s="46" t="s">
        <v>58</v>
      </c>
      <c r="H80" s="47">
        <v>9</v>
      </c>
      <c r="I80" s="130">
        <f t="shared" ref="I80:I90" si="10">AVERAGE(S80:U80)</f>
        <v>5394.7633333333333</v>
      </c>
      <c r="J80" s="130">
        <f t="shared" si="9"/>
        <v>48552.87</v>
      </c>
      <c r="K80" s="25"/>
      <c r="M80" s="56"/>
      <c r="N80" s="4"/>
      <c r="O80" s="132" t="s">
        <v>294</v>
      </c>
      <c r="P80" s="132" t="s">
        <v>184</v>
      </c>
      <c r="Q80" s="132" t="s">
        <v>375</v>
      </c>
      <c r="R80" s="81"/>
      <c r="S80" s="145">
        <v>3021.5</v>
      </c>
      <c r="T80" s="145">
        <v>7717.79</v>
      </c>
      <c r="U80" s="145">
        <v>5445</v>
      </c>
      <c r="V80" s="25"/>
    </row>
    <row r="81" spans="2:22" ht="60" x14ac:dyDescent="0.2">
      <c r="B81" s="17"/>
      <c r="C81" s="43" t="s">
        <v>61</v>
      </c>
      <c r="D81" s="43"/>
      <c r="E81" s="44" t="s">
        <v>198</v>
      </c>
      <c r="F81" s="45" t="s">
        <v>282</v>
      </c>
      <c r="G81" s="46" t="s">
        <v>58</v>
      </c>
      <c r="H81" s="47">
        <v>4</v>
      </c>
      <c r="I81" s="130">
        <f t="shared" si="10"/>
        <v>26070.49</v>
      </c>
      <c r="J81" s="130">
        <f t="shared" si="9"/>
        <v>104281.96</v>
      </c>
      <c r="K81" s="25"/>
      <c r="M81" s="56"/>
      <c r="N81" s="4"/>
      <c r="O81" s="130" t="s">
        <v>294</v>
      </c>
      <c r="P81" s="130" t="s">
        <v>184</v>
      </c>
      <c r="Q81" s="117" t="s">
        <v>295</v>
      </c>
      <c r="R81" s="81"/>
      <c r="S81" s="130">
        <v>8628.24</v>
      </c>
      <c r="T81" s="130">
        <v>49883.23</v>
      </c>
      <c r="U81" s="130">
        <v>19700</v>
      </c>
      <c r="V81" s="25"/>
    </row>
    <row r="82" spans="2:22" ht="60" x14ac:dyDescent="0.2">
      <c r="B82" s="17"/>
      <c r="C82" s="43" t="s">
        <v>62</v>
      </c>
      <c r="D82" s="43"/>
      <c r="E82" s="44" t="s">
        <v>198</v>
      </c>
      <c r="F82" s="45" t="s">
        <v>283</v>
      </c>
      <c r="G82" s="46" t="s">
        <v>58</v>
      </c>
      <c r="H82" s="47">
        <v>1</v>
      </c>
      <c r="I82" s="130">
        <f t="shared" si="10"/>
        <v>16092.230000000001</v>
      </c>
      <c r="J82" s="130">
        <f t="shared" si="9"/>
        <v>16092.230000000001</v>
      </c>
      <c r="K82" s="25"/>
      <c r="M82" s="56"/>
      <c r="N82" s="4"/>
      <c r="O82" s="130" t="s">
        <v>296</v>
      </c>
      <c r="P82" s="130" t="s">
        <v>376</v>
      </c>
      <c r="Q82" s="117" t="s">
        <v>415</v>
      </c>
      <c r="R82" s="81"/>
      <c r="S82" s="130">
        <v>14876.69</v>
      </c>
      <c r="T82" s="130">
        <v>17200</v>
      </c>
      <c r="U82" s="130">
        <v>16200</v>
      </c>
      <c r="V82" s="25"/>
    </row>
    <row r="83" spans="2:22" ht="49.5" customHeight="1" x14ac:dyDescent="0.2">
      <c r="B83" s="17"/>
      <c r="C83" s="43" t="s">
        <v>63</v>
      </c>
      <c r="D83" s="43"/>
      <c r="E83" s="44" t="s">
        <v>198</v>
      </c>
      <c r="F83" s="45" t="s">
        <v>284</v>
      </c>
      <c r="G83" s="46" t="s">
        <v>58</v>
      </c>
      <c r="H83" s="47">
        <v>1</v>
      </c>
      <c r="I83" s="130">
        <f t="shared" si="10"/>
        <v>47505.200000000004</v>
      </c>
      <c r="J83" s="130">
        <f t="shared" si="9"/>
        <v>47505.200000000004</v>
      </c>
      <c r="K83" s="25"/>
      <c r="M83" s="56"/>
      <c r="N83" s="4"/>
      <c r="O83" s="130" t="s">
        <v>297</v>
      </c>
      <c r="P83" s="117" t="s">
        <v>374</v>
      </c>
      <c r="Q83" s="117" t="s">
        <v>380</v>
      </c>
      <c r="R83" s="81"/>
      <c r="S83" s="130">
        <v>51865</v>
      </c>
      <c r="T83" s="130">
        <v>46920</v>
      </c>
      <c r="U83" s="130">
        <v>43730.6</v>
      </c>
      <c r="V83" s="25"/>
    </row>
    <row r="84" spans="2:22" ht="49.5" customHeight="1" x14ac:dyDescent="0.2">
      <c r="B84" s="17"/>
      <c r="C84" s="43" t="s">
        <v>64</v>
      </c>
      <c r="D84" s="43"/>
      <c r="E84" s="44" t="s">
        <v>198</v>
      </c>
      <c r="F84" s="45" t="s">
        <v>419</v>
      </c>
      <c r="G84" s="46" t="s">
        <v>58</v>
      </c>
      <c r="H84" s="47">
        <v>1</v>
      </c>
      <c r="I84" s="130">
        <f t="shared" si="10"/>
        <v>35459.43</v>
      </c>
      <c r="J84" s="130">
        <f t="shared" si="9"/>
        <v>35459.43</v>
      </c>
      <c r="K84" s="25"/>
      <c r="M84" s="56"/>
      <c r="N84" s="4"/>
      <c r="O84" s="130" t="s">
        <v>295</v>
      </c>
      <c r="P84" s="130" t="s">
        <v>416</v>
      </c>
      <c r="Q84" s="117" t="s">
        <v>417</v>
      </c>
      <c r="R84" s="81"/>
      <c r="S84" s="130">
        <v>34600</v>
      </c>
      <c r="T84" s="130">
        <v>35500</v>
      </c>
      <c r="U84" s="130">
        <v>36278.29</v>
      </c>
      <c r="V84" s="25"/>
    </row>
    <row r="85" spans="2:22" ht="49.5" customHeight="1" x14ac:dyDescent="0.2">
      <c r="B85" s="17"/>
      <c r="C85" s="43" t="s">
        <v>373</v>
      </c>
      <c r="D85" s="43"/>
      <c r="E85" s="44" t="s">
        <v>198</v>
      </c>
      <c r="F85" s="45" t="s">
        <v>420</v>
      </c>
      <c r="G85" s="46" t="s">
        <v>58</v>
      </c>
      <c r="H85" s="47">
        <v>1</v>
      </c>
      <c r="I85" s="130">
        <f t="shared" si="10"/>
        <v>35459.43</v>
      </c>
      <c r="J85" s="130">
        <f t="shared" si="9"/>
        <v>35459.43</v>
      </c>
      <c r="K85" s="25"/>
      <c r="M85" s="56"/>
      <c r="N85" s="4"/>
      <c r="O85" s="130" t="s">
        <v>295</v>
      </c>
      <c r="P85" s="136" t="s">
        <v>416</v>
      </c>
      <c r="Q85" s="117" t="s">
        <v>417</v>
      </c>
      <c r="R85" s="81"/>
      <c r="S85" s="130">
        <v>34600</v>
      </c>
      <c r="T85" s="136">
        <v>35500</v>
      </c>
      <c r="U85" s="136">
        <v>36278.29</v>
      </c>
      <c r="V85" s="25"/>
    </row>
    <row r="86" spans="2:22" ht="49.5" customHeight="1" x14ac:dyDescent="0.2">
      <c r="B86" s="17"/>
      <c r="C86" s="43" t="s">
        <v>65</v>
      </c>
      <c r="D86" s="43"/>
      <c r="E86" s="44" t="s">
        <v>198</v>
      </c>
      <c r="F86" s="45" t="s">
        <v>285</v>
      </c>
      <c r="G86" s="46" t="s">
        <v>58</v>
      </c>
      <c r="H86" s="47">
        <v>1</v>
      </c>
      <c r="I86" s="130">
        <f t="shared" si="10"/>
        <v>99790</v>
      </c>
      <c r="J86" s="130">
        <f t="shared" si="9"/>
        <v>99790</v>
      </c>
      <c r="K86" s="25"/>
      <c r="M86" s="56"/>
      <c r="N86" s="4"/>
      <c r="O86" s="130" t="s">
        <v>298</v>
      </c>
      <c r="P86" s="130"/>
      <c r="Q86" s="117"/>
      <c r="R86" s="81"/>
      <c r="S86" s="130">
        <v>99790</v>
      </c>
      <c r="T86" s="130"/>
      <c r="U86" s="130"/>
      <c r="V86" s="25"/>
    </row>
    <row r="87" spans="2:22" ht="49.5" customHeight="1" x14ac:dyDescent="0.2">
      <c r="B87" s="17"/>
      <c r="C87" s="43" t="s">
        <v>176</v>
      </c>
      <c r="D87" s="43"/>
      <c r="E87" s="44" t="s">
        <v>198</v>
      </c>
      <c r="F87" s="45" t="s">
        <v>286</v>
      </c>
      <c r="G87" s="46" t="s">
        <v>58</v>
      </c>
      <c r="H87" s="47">
        <v>2</v>
      </c>
      <c r="I87" s="130">
        <f t="shared" si="10"/>
        <v>9139.0133333333342</v>
      </c>
      <c r="J87" s="130">
        <f t="shared" si="9"/>
        <v>18278.026666666668</v>
      </c>
      <c r="K87" s="25"/>
      <c r="M87" s="56"/>
      <c r="N87" s="4"/>
      <c r="O87" s="130" t="s">
        <v>294</v>
      </c>
      <c r="P87" s="130" t="s">
        <v>184</v>
      </c>
      <c r="Q87" s="132" t="s">
        <v>375</v>
      </c>
      <c r="R87" s="81"/>
      <c r="S87" s="130">
        <v>2018.25</v>
      </c>
      <c r="T87" s="130">
        <v>14798.79</v>
      </c>
      <c r="U87" s="130">
        <v>10600</v>
      </c>
      <c r="V87" s="25"/>
    </row>
    <row r="88" spans="2:22" ht="49.5" customHeight="1" x14ac:dyDescent="0.2">
      <c r="B88" s="17"/>
      <c r="C88" s="43" t="s">
        <v>66</v>
      </c>
      <c r="D88" s="43"/>
      <c r="E88" s="44" t="s">
        <v>198</v>
      </c>
      <c r="F88" s="45" t="s">
        <v>287</v>
      </c>
      <c r="G88" s="46" t="s">
        <v>58</v>
      </c>
      <c r="H88" s="47">
        <v>2</v>
      </c>
      <c r="I88" s="130">
        <f t="shared" si="10"/>
        <v>8477.1999999999989</v>
      </c>
      <c r="J88" s="130">
        <f t="shared" si="9"/>
        <v>16954.399999999998</v>
      </c>
      <c r="K88" s="25"/>
      <c r="M88" s="56"/>
      <c r="N88" s="4"/>
      <c r="O88" s="130" t="s">
        <v>299</v>
      </c>
      <c r="P88" s="130" t="s">
        <v>300</v>
      </c>
      <c r="Q88" s="117" t="s">
        <v>418</v>
      </c>
      <c r="R88" s="81"/>
      <c r="S88" s="130">
        <v>8340</v>
      </c>
      <c r="T88" s="130">
        <v>7341.6</v>
      </c>
      <c r="U88" s="130">
        <v>9750</v>
      </c>
      <c r="V88" s="25"/>
    </row>
    <row r="89" spans="2:22" ht="49.5" customHeight="1" x14ac:dyDescent="0.2">
      <c r="B89" s="17"/>
      <c r="C89" s="43" t="s">
        <v>67</v>
      </c>
      <c r="D89" s="43"/>
      <c r="E89" s="44" t="s">
        <v>198</v>
      </c>
      <c r="F89" s="45" t="s">
        <v>288</v>
      </c>
      <c r="G89" s="46" t="s">
        <v>58</v>
      </c>
      <c r="H89" s="47">
        <v>1</v>
      </c>
      <c r="I89" s="130">
        <f t="shared" si="10"/>
        <v>1306649.5</v>
      </c>
      <c r="J89" s="130">
        <f t="shared" si="9"/>
        <v>1306649.5</v>
      </c>
      <c r="K89" s="25"/>
      <c r="M89" s="56"/>
      <c r="N89" s="4"/>
      <c r="O89" s="130" t="s">
        <v>301</v>
      </c>
      <c r="P89" s="130" t="s">
        <v>302</v>
      </c>
      <c r="Q89" s="117"/>
      <c r="R89" s="81"/>
      <c r="S89" s="130">
        <v>1329199</v>
      </c>
      <c r="T89" s="130">
        <f>934100+350000</f>
        <v>1284100</v>
      </c>
      <c r="U89" s="130"/>
      <c r="V89" s="25"/>
    </row>
    <row r="90" spans="2:22" ht="49.5" customHeight="1" x14ac:dyDescent="0.2">
      <c r="B90" s="17"/>
      <c r="C90" s="43" t="s">
        <v>68</v>
      </c>
      <c r="D90" s="43"/>
      <c r="E90" s="44" t="s">
        <v>198</v>
      </c>
      <c r="F90" s="45" t="s">
        <v>289</v>
      </c>
      <c r="G90" s="46" t="s">
        <v>58</v>
      </c>
      <c r="H90" s="47">
        <v>8</v>
      </c>
      <c r="I90" s="130">
        <f t="shared" si="10"/>
        <v>148735.28</v>
      </c>
      <c r="J90" s="130">
        <f t="shared" si="9"/>
        <v>1189882.24</v>
      </c>
      <c r="K90" s="25"/>
      <c r="M90" s="56"/>
      <c r="N90" s="4"/>
      <c r="O90" s="130" t="s">
        <v>296</v>
      </c>
      <c r="P90" s="130"/>
      <c r="Q90" s="117"/>
      <c r="R90" s="81"/>
      <c r="S90" s="130">
        <v>148735.28</v>
      </c>
      <c r="T90" s="130"/>
      <c r="U90" s="130"/>
      <c r="V90" s="25"/>
    </row>
    <row r="91" spans="2:22" x14ac:dyDescent="0.2">
      <c r="B91" s="17"/>
      <c r="C91" s="2"/>
      <c r="D91" s="2"/>
      <c r="E91" s="3"/>
      <c r="F91" s="4"/>
      <c r="G91" s="63"/>
      <c r="H91" s="109"/>
      <c r="I91" s="98" t="s">
        <v>41</v>
      </c>
      <c r="J91" s="55">
        <f>SUM(J77:J90)</f>
        <v>3736780.58</v>
      </c>
      <c r="K91" s="25"/>
      <c r="M91" s="56"/>
      <c r="N91" s="4"/>
      <c r="O91" s="4"/>
      <c r="P91" s="4"/>
      <c r="Q91" s="4"/>
      <c r="R91" s="4"/>
      <c r="S91" s="4"/>
      <c r="T91" s="4"/>
      <c r="U91" s="4"/>
      <c r="V91" s="25"/>
    </row>
    <row r="92" spans="2:22" x14ac:dyDescent="0.2">
      <c r="B92" s="17"/>
      <c r="C92" s="2"/>
      <c r="D92" s="2"/>
      <c r="E92" s="3"/>
      <c r="F92" s="4"/>
      <c r="G92" s="63"/>
      <c r="H92" s="109"/>
      <c r="I92" s="64"/>
      <c r="J92" s="64"/>
      <c r="K92" s="25"/>
      <c r="M92" s="56"/>
      <c r="N92" s="4"/>
      <c r="O92" s="4"/>
      <c r="P92" s="4"/>
      <c r="Q92" s="4"/>
      <c r="R92" s="4"/>
      <c r="S92" s="4"/>
      <c r="T92" s="4"/>
      <c r="U92" s="4"/>
      <c r="V92" s="25"/>
    </row>
    <row r="93" spans="2:22" x14ac:dyDescent="0.2">
      <c r="B93" s="17"/>
      <c r="C93" s="2"/>
      <c r="D93" s="2"/>
      <c r="E93" s="3"/>
      <c r="F93" s="4"/>
      <c r="G93" s="63"/>
      <c r="H93" s="109"/>
      <c r="I93" s="64"/>
      <c r="J93" s="64"/>
      <c r="K93" s="25"/>
      <c r="M93" s="56"/>
      <c r="N93" s="4"/>
      <c r="O93" s="4"/>
      <c r="P93" s="4"/>
      <c r="Q93" s="4"/>
      <c r="R93" s="4"/>
      <c r="S93" s="4"/>
      <c r="T93" s="4"/>
      <c r="U93" s="4"/>
      <c r="V93" s="25"/>
    </row>
    <row r="94" spans="2:22" x14ac:dyDescent="0.2">
      <c r="B94" s="17"/>
      <c r="C94" s="2"/>
      <c r="D94" s="2"/>
      <c r="E94" s="3"/>
      <c r="F94" s="4"/>
      <c r="G94" s="63"/>
      <c r="H94" s="109"/>
      <c r="I94" s="64"/>
      <c r="J94" s="64"/>
      <c r="K94" s="25"/>
      <c r="M94" s="56"/>
      <c r="N94" s="4"/>
      <c r="O94" s="4"/>
      <c r="P94" s="4"/>
      <c r="Q94" s="4"/>
      <c r="R94" s="4"/>
      <c r="S94" s="4"/>
      <c r="T94" s="4"/>
      <c r="U94" s="4"/>
      <c r="V94" s="25"/>
    </row>
    <row r="95" spans="2:22" x14ac:dyDescent="0.2">
      <c r="B95" s="17"/>
      <c r="C95" s="2"/>
      <c r="D95" s="2"/>
      <c r="E95" s="3"/>
      <c r="F95" s="4"/>
      <c r="G95" s="63"/>
      <c r="H95" s="109"/>
      <c r="I95" s="64"/>
      <c r="J95" s="64"/>
      <c r="K95" s="25"/>
      <c r="M95" s="56"/>
      <c r="N95" s="4"/>
      <c r="O95" s="4"/>
      <c r="P95" s="4"/>
      <c r="Q95" s="4"/>
      <c r="R95" s="4"/>
      <c r="S95" s="4"/>
      <c r="T95" s="4"/>
      <c r="U95" s="4"/>
      <c r="V95" s="25"/>
    </row>
    <row r="96" spans="2:22" x14ac:dyDescent="0.2">
      <c r="B96" s="17"/>
      <c r="C96" s="2"/>
      <c r="D96" s="2"/>
      <c r="E96" s="3"/>
      <c r="F96" s="4"/>
      <c r="G96" s="63"/>
      <c r="H96" s="109"/>
      <c r="I96" s="64"/>
      <c r="J96" s="64"/>
      <c r="K96" s="25"/>
      <c r="M96" s="56"/>
      <c r="N96" s="4"/>
      <c r="O96" s="4"/>
      <c r="P96" s="4"/>
      <c r="Q96" s="4"/>
      <c r="R96" s="4"/>
      <c r="S96" s="4"/>
      <c r="T96" s="4"/>
      <c r="U96" s="4"/>
      <c r="V96" s="25"/>
    </row>
    <row r="97" spans="2:22" x14ac:dyDescent="0.2">
      <c r="B97" s="17"/>
      <c r="C97" s="35">
        <v>9</v>
      </c>
      <c r="D97" s="35"/>
      <c r="E97" s="59"/>
      <c r="F97" s="36" t="s">
        <v>256</v>
      </c>
      <c r="G97" s="37"/>
      <c r="H97" s="106"/>
      <c r="I97" s="96"/>
      <c r="J97" s="38"/>
      <c r="K97" s="25"/>
      <c r="M97" s="56"/>
      <c r="N97" s="4"/>
      <c r="O97" s="4"/>
      <c r="P97" s="4"/>
      <c r="Q97" s="4"/>
      <c r="R97" s="4"/>
      <c r="S97" s="4"/>
      <c r="T97" s="4"/>
      <c r="U97" s="4"/>
      <c r="V97" s="25"/>
    </row>
    <row r="98" spans="2:22" x14ac:dyDescent="0.2">
      <c r="B98" s="17"/>
      <c r="C98" s="39" t="s">
        <v>90</v>
      </c>
      <c r="D98" s="39"/>
      <c r="E98" s="58"/>
      <c r="F98" s="60" t="s">
        <v>280</v>
      </c>
      <c r="G98" s="40"/>
      <c r="H98" s="107"/>
      <c r="I98" s="97"/>
      <c r="J98" s="41"/>
      <c r="K98" s="25"/>
      <c r="M98" s="56"/>
      <c r="N98" s="4"/>
      <c r="O98" s="4"/>
      <c r="P98" s="4"/>
      <c r="Q98" s="4"/>
      <c r="R98" s="4"/>
      <c r="S98" s="4"/>
      <c r="T98" s="4"/>
      <c r="U98" s="4"/>
      <c r="V98" s="25"/>
    </row>
    <row r="99" spans="2:22" ht="49.5" customHeight="1" x14ac:dyDescent="0.2">
      <c r="B99" s="17"/>
      <c r="C99" s="43" t="s">
        <v>91</v>
      </c>
      <c r="D99" s="43"/>
      <c r="E99" s="44" t="s">
        <v>198</v>
      </c>
      <c r="F99" s="128" t="s">
        <v>335</v>
      </c>
      <c r="G99" s="46" t="s">
        <v>58</v>
      </c>
      <c r="H99" s="47">
        <v>20</v>
      </c>
      <c r="I99" s="130">
        <f>AVERAGE(S99:U99)</f>
        <v>24.84</v>
      </c>
      <c r="J99" s="130">
        <f>I99*H99</f>
        <v>496.8</v>
      </c>
      <c r="K99" s="25"/>
      <c r="M99" s="56"/>
      <c r="N99" s="4"/>
      <c r="O99" s="131" t="s">
        <v>365</v>
      </c>
      <c r="P99" s="131" t="s">
        <v>366</v>
      </c>
      <c r="Q99" s="117" t="s">
        <v>367</v>
      </c>
      <c r="R99" s="81"/>
      <c r="S99" s="131">
        <v>30.96</v>
      </c>
      <c r="T99" s="131">
        <v>21.58</v>
      </c>
      <c r="U99" s="131">
        <v>21.98</v>
      </c>
      <c r="V99" s="25"/>
    </row>
    <row r="100" spans="2:22" ht="49.5" customHeight="1" x14ac:dyDescent="0.2">
      <c r="B100" s="17"/>
      <c r="C100" s="43" t="s">
        <v>92</v>
      </c>
      <c r="D100" s="43">
        <v>112</v>
      </c>
      <c r="E100" s="44" t="s">
        <v>44</v>
      </c>
      <c r="F100" s="128" t="s">
        <v>69</v>
      </c>
      <c r="G100" s="46" t="s">
        <v>58</v>
      </c>
      <c r="H100" s="47">
        <v>36</v>
      </c>
      <c r="I100" s="130">
        <v>3.42</v>
      </c>
      <c r="J100" s="131">
        <f t="shared" ref="J100:J164" si="11">I100*H100</f>
        <v>123.12</v>
      </c>
      <c r="K100" s="25"/>
      <c r="M100" s="56"/>
      <c r="N100" s="4"/>
      <c r="O100" s="167" t="s">
        <v>44</v>
      </c>
      <c r="P100" s="167"/>
      <c r="Q100" s="167"/>
      <c r="R100" s="81"/>
      <c r="S100" s="167" t="s">
        <v>44</v>
      </c>
      <c r="T100" s="167"/>
      <c r="U100" s="167"/>
      <c r="V100" s="25"/>
    </row>
    <row r="101" spans="2:22" ht="49.5" customHeight="1" x14ac:dyDescent="0.2">
      <c r="B101" s="17"/>
      <c r="C101" s="43" t="s">
        <v>177</v>
      </c>
      <c r="D101" s="43">
        <v>113</v>
      </c>
      <c r="E101" s="44" t="s">
        <v>44</v>
      </c>
      <c r="F101" s="128" t="s">
        <v>70</v>
      </c>
      <c r="G101" s="46" t="s">
        <v>58</v>
      </c>
      <c r="H101" s="47">
        <v>36</v>
      </c>
      <c r="I101" s="130">
        <v>9.3000000000000007</v>
      </c>
      <c r="J101" s="131">
        <f t="shared" si="11"/>
        <v>334.8</v>
      </c>
      <c r="K101" s="25"/>
      <c r="M101" s="56"/>
      <c r="N101" s="4"/>
      <c r="O101" s="167" t="s">
        <v>44</v>
      </c>
      <c r="P101" s="167"/>
      <c r="Q101" s="167"/>
      <c r="R101" s="81"/>
      <c r="S101" s="167" t="s">
        <v>44</v>
      </c>
      <c r="T101" s="167"/>
      <c r="U101" s="167"/>
      <c r="V101" s="25"/>
    </row>
    <row r="102" spans="2:22" ht="49.5" customHeight="1" x14ac:dyDescent="0.2">
      <c r="B102" s="17"/>
      <c r="C102" s="43" t="s">
        <v>93</v>
      </c>
      <c r="D102" s="43">
        <v>104</v>
      </c>
      <c r="E102" s="44" t="s">
        <v>44</v>
      </c>
      <c r="F102" s="128" t="s">
        <v>303</v>
      </c>
      <c r="G102" s="46" t="s">
        <v>58</v>
      </c>
      <c r="H102" s="47">
        <v>4</v>
      </c>
      <c r="I102" s="130">
        <v>13.53</v>
      </c>
      <c r="J102" s="131">
        <f t="shared" si="11"/>
        <v>54.12</v>
      </c>
      <c r="K102" s="25"/>
      <c r="M102" s="56"/>
      <c r="N102" s="4"/>
      <c r="O102" s="167" t="s">
        <v>44</v>
      </c>
      <c r="P102" s="167"/>
      <c r="Q102" s="167"/>
      <c r="R102" s="81"/>
      <c r="S102" s="167" t="s">
        <v>44</v>
      </c>
      <c r="T102" s="167"/>
      <c r="U102" s="167"/>
      <c r="V102" s="25"/>
    </row>
    <row r="103" spans="2:22" ht="49.5" customHeight="1" x14ac:dyDescent="0.2">
      <c r="B103" s="17"/>
      <c r="C103" s="43" t="s">
        <v>94</v>
      </c>
      <c r="D103" s="43">
        <v>102</v>
      </c>
      <c r="E103" s="44" t="s">
        <v>44</v>
      </c>
      <c r="F103" s="128" t="s">
        <v>71</v>
      </c>
      <c r="G103" s="46" t="s">
        <v>58</v>
      </c>
      <c r="H103" s="47">
        <v>44</v>
      </c>
      <c r="I103" s="130">
        <v>22.21</v>
      </c>
      <c r="J103" s="131">
        <f t="shared" si="11"/>
        <v>977.24</v>
      </c>
      <c r="K103" s="25"/>
      <c r="M103" s="56"/>
      <c r="N103" s="4"/>
      <c r="O103" s="167" t="s">
        <v>44</v>
      </c>
      <c r="P103" s="167"/>
      <c r="Q103" s="167"/>
      <c r="R103" s="81"/>
      <c r="S103" s="167" t="s">
        <v>44</v>
      </c>
      <c r="T103" s="167"/>
      <c r="U103" s="167"/>
      <c r="V103" s="25"/>
    </row>
    <row r="104" spans="2:22" ht="49.5" customHeight="1" x14ac:dyDescent="0.2">
      <c r="B104" s="17"/>
      <c r="C104" s="43" t="s">
        <v>95</v>
      </c>
      <c r="D104" s="43">
        <v>303</v>
      </c>
      <c r="E104" s="44" t="s">
        <v>44</v>
      </c>
      <c r="F104" s="128" t="s">
        <v>72</v>
      </c>
      <c r="G104" s="46" t="s">
        <v>58</v>
      </c>
      <c r="H104" s="47">
        <v>20</v>
      </c>
      <c r="I104" s="130">
        <v>2.68</v>
      </c>
      <c r="J104" s="131">
        <f t="shared" si="11"/>
        <v>53.6</v>
      </c>
      <c r="K104" s="25"/>
      <c r="M104" s="56"/>
      <c r="N104" s="4"/>
      <c r="O104" s="167" t="s">
        <v>44</v>
      </c>
      <c r="P104" s="167"/>
      <c r="Q104" s="167"/>
      <c r="R104" s="81"/>
      <c r="S104" s="167" t="s">
        <v>44</v>
      </c>
      <c r="T104" s="167"/>
      <c r="U104" s="167"/>
      <c r="V104" s="25"/>
    </row>
    <row r="105" spans="2:22" ht="49.5" customHeight="1" x14ac:dyDescent="0.2">
      <c r="B105" s="17"/>
      <c r="C105" s="43" t="s">
        <v>96</v>
      </c>
      <c r="D105" s="43">
        <v>306</v>
      </c>
      <c r="E105" s="44" t="s">
        <v>44</v>
      </c>
      <c r="F105" s="128" t="s">
        <v>186</v>
      </c>
      <c r="G105" s="46" t="s">
        <v>58</v>
      </c>
      <c r="H105" s="47">
        <v>60</v>
      </c>
      <c r="I105" s="130">
        <v>8.41</v>
      </c>
      <c r="J105" s="131">
        <f t="shared" si="11"/>
        <v>504.6</v>
      </c>
      <c r="K105" s="25"/>
      <c r="M105" s="56"/>
      <c r="N105" s="4"/>
      <c r="O105" s="167" t="s">
        <v>44</v>
      </c>
      <c r="P105" s="167"/>
      <c r="Q105" s="167"/>
      <c r="R105" s="81"/>
      <c r="S105" s="167" t="s">
        <v>44</v>
      </c>
      <c r="T105" s="167"/>
      <c r="U105" s="167"/>
      <c r="V105" s="25"/>
    </row>
    <row r="106" spans="2:22" ht="49.5" customHeight="1" x14ac:dyDescent="0.2">
      <c r="B106" s="17"/>
      <c r="C106" s="43" t="s">
        <v>97</v>
      </c>
      <c r="D106" s="43">
        <v>831</v>
      </c>
      <c r="E106" s="44" t="s">
        <v>44</v>
      </c>
      <c r="F106" s="128" t="s">
        <v>270</v>
      </c>
      <c r="G106" s="46" t="s">
        <v>58</v>
      </c>
      <c r="H106" s="47">
        <v>30</v>
      </c>
      <c r="I106" s="130">
        <v>57.87</v>
      </c>
      <c r="J106" s="131">
        <f t="shared" si="11"/>
        <v>1736.1</v>
      </c>
      <c r="K106" s="25"/>
      <c r="M106" s="56"/>
      <c r="N106" s="4"/>
      <c r="O106" s="167" t="s">
        <v>44</v>
      </c>
      <c r="P106" s="167"/>
      <c r="Q106" s="167"/>
      <c r="R106" s="81"/>
      <c r="S106" s="167" t="s">
        <v>44</v>
      </c>
      <c r="T106" s="167"/>
      <c r="U106" s="167"/>
      <c r="V106" s="25"/>
    </row>
    <row r="107" spans="2:22" ht="49.5" customHeight="1" x14ac:dyDescent="0.2">
      <c r="B107" s="17"/>
      <c r="C107" s="43" t="s">
        <v>178</v>
      </c>
      <c r="D107" s="43">
        <v>818</v>
      </c>
      <c r="E107" s="44" t="s">
        <v>44</v>
      </c>
      <c r="F107" s="128" t="s">
        <v>304</v>
      </c>
      <c r="G107" s="46" t="s">
        <v>58</v>
      </c>
      <c r="H107" s="47">
        <v>36</v>
      </c>
      <c r="I107" s="130">
        <v>4.2</v>
      </c>
      <c r="J107" s="131">
        <f t="shared" si="11"/>
        <v>151.20000000000002</v>
      </c>
      <c r="K107" s="25"/>
      <c r="M107" s="56"/>
      <c r="N107" s="4"/>
      <c r="O107" s="167" t="s">
        <v>44</v>
      </c>
      <c r="P107" s="167"/>
      <c r="Q107" s="167"/>
      <c r="R107" s="81"/>
      <c r="S107" s="167" t="s">
        <v>44</v>
      </c>
      <c r="T107" s="167"/>
      <c r="U107" s="167"/>
      <c r="V107" s="25"/>
    </row>
    <row r="108" spans="2:22" ht="49.5" customHeight="1" x14ac:dyDescent="0.2">
      <c r="B108" s="17"/>
      <c r="C108" s="43" t="s">
        <v>98</v>
      </c>
      <c r="D108" s="43">
        <v>827</v>
      </c>
      <c r="E108" s="44" t="s">
        <v>44</v>
      </c>
      <c r="F108" s="128" t="s">
        <v>305</v>
      </c>
      <c r="G108" s="46" t="s">
        <v>58</v>
      </c>
      <c r="H108" s="47">
        <v>6</v>
      </c>
      <c r="I108" s="130">
        <v>27.42</v>
      </c>
      <c r="J108" s="131">
        <f t="shared" si="11"/>
        <v>164.52</v>
      </c>
      <c r="K108" s="25"/>
      <c r="M108" s="56"/>
      <c r="N108" s="4"/>
      <c r="O108" s="167" t="s">
        <v>44</v>
      </c>
      <c r="P108" s="167"/>
      <c r="Q108" s="167"/>
      <c r="R108" s="81"/>
      <c r="S108" s="167" t="s">
        <v>44</v>
      </c>
      <c r="T108" s="167"/>
      <c r="U108" s="167"/>
      <c r="V108" s="25"/>
    </row>
    <row r="109" spans="2:22" ht="49.5" customHeight="1" x14ac:dyDescent="0.2">
      <c r="B109" s="17"/>
      <c r="C109" s="43" t="s">
        <v>99</v>
      </c>
      <c r="D109" s="43">
        <v>821</v>
      </c>
      <c r="E109" s="44" t="s">
        <v>44</v>
      </c>
      <c r="F109" s="128" t="s">
        <v>306</v>
      </c>
      <c r="G109" s="46" t="s">
        <v>58</v>
      </c>
      <c r="H109" s="47">
        <v>1</v>
      </c>
      <c r="I109" s="130">
        <v>12.99</v>
      </c>
      <c r="J109" s="131">
        <f t="shared" si="11"/>
        <v>12.99</v>
      </c>
      <c r="K109" s="25"/>
      <c r="M109" s="56"/>
      <c r="N109" s="4"/>
      <c r="O109" s="167" t="s">
        <v>44</v>
      </c>
      <c r="P109" s="167"/>
      <c r="Q109" s="167"/>
      <c r="R109" s="81"/>
      <c r="S109" s="167" t="s">
        <v>44</v>
      </c>
      <c r="T109" s="167"/>
      <c r="U109" s="167"/>
      <c r="V109" s="25"/>
    </row>
    <row r="110" spans="2:22" ht="49.5" customHeight="1" x14ac:dyDescent="0.2">
      <c r="B110" s="17"/>
      <c r="C110" s="43" t="s">
        <v>100</v>
      </c>
      <c r="D110" s="43">
        <v>817</v>
      </c>
      <c r="E110" s="44" t="s">
        <v>44</v>
      </c>
      <c r="F110" s="128" t="s">
        <v>307</v>
      </c>
      <c r="G110" s="46" t="s">
        <v>58</v>
      </c>
      <c r="H110" s="47">
        <v>36</v>
      </c>
      <c r="I110" s="130">
        <v>15.44</v>
      </c>
      <c r="J110" s="131">
        <f t="shared" si="11"/>
        <v>555.84</v>
      </c>
      <c r="K110" s="25"/>
      <c r="M110" s="56"/>
      <c r="N110" s="4"/>
      <c r="O110" s="167" t="s">
        <v>44</v>
      </c>
      <c r="P110" s="167"/>
      <c r="Q110" s="167"/>
      <c r="R110" s="81"/>
      <c r="S110" s="167" t="s">
        <v>44</v>
      </c>
      <c r="T110" s="167"/>
      <c r="U110" s="167"/>
      <c r="V110" s="25"/>
    </row>
    <row r="111" spans="2:22" ht="49.5" customHeight="1" x14ac:dyDescent="0.2">
      <c r="B111" s="17"/>
      <c r="C111" s="43" t="s">
        <v>101</v>
      </c>
      <c r="D111" s="43">
        <v>1962</v>
      </c>
      <c r="E111" s="44" t="s">
        <v>44</v>
      </c>
      <c r="F111" s="128" t="s">
        <v>264</v>
      </c>
      <c r="G111" s="46" t="s">
        <v>58</v>
      </c>
      <c r="H111" s="47">
        <v>38</v>
      </c>
      <c r="I111" s="130">
        <v>139.84</v>
      </c>
      <c r="J111" s="131">
        <f t="shared" si="11"/>
        <v>5313.92</v>
      </c>
      <c r="K111" s="25"/>
      <c r="M111" s="56"/>
      <c r="N111" s="4"/>
      <c r="O111" s="167" t="s">
        <v>44</v>
      </c>
      <c r="P111" s="167"/>
      <c r="Q111" s="167"/>
      <c r="R111" s="81"/>
      <c r="S111" s="167" t="s">
        <v>44</v>
      </c>
      <c r="T111" s="167"/>
      <c r="U111" s="167"/>
      <c r="V111" s="25"/>
    </row>
    <row r="112" spans="2:22" ht="49.5" customHeight="1" x14ac:dyDescent="0.2">
      <c r="B112" s="17"/>
      <c r="C112" s="43" t="s">
        <v>179</v>
      </c>
      <c r="D112" s="43">
        <v>1959</v>
      </c>
      <c r="E112" s="44" t="s">
        <v>44</v>
      </c>
      <c r="F112" s="128" t="s">
        <v>187</v>
      </c>
      <c r="G112" s="46" t="s">
        <v>58</v>
      </c>
      <c r="H112" s="47">
        <v>8</v>
      </c>
      <c r="I112" s="130">
        <v>11.73</v>
      </c>
      <c r="J112" s="131">
        <f t="shared" si="11"/>
        <v>93.84</v>
      </c>
      <c r="K112" s="25"/>
      <c r="M112" s="56"/>
      <c r="N112" s="4"/>
      <c r="O112" s="167" t="s">
        <v>44</v>
      </c>
      <c r="P112" s="167"/>
      <c r="Q112" s="167"/>
      <c r="R112" s="81"/>
      <c r="S112" s="167" t="s">
        <v>44</v>
      </c>
      <c r="T112" s="167"/>
      <c r="U112" s="167"/>
      <c r="V112" s="25"/>
    </row>
    <row r="113" spans="2:22" ht="49.5" customHeight="1" x14ac:dyDescent="0.2">
      <c r="B113" s="17"/>
      <c r="C113" s="43" t="s">
        <v>102</v>
      </c>
      <c r="D113" s="43">
        <v>1961</v>
      </c>
      <c r="E113" s="44" t="s">
        <v>44</v>
      </c>
      <c r="F113" s="128" t="s">
        <v>73</v>
      </c>
      <c r="G113" s="46" t="s">
        <v>58</v>
      </c>
      <c r="H113" s="47">
        <v>12</v>
      </c>
      <c r="I113" s="130">
        <v>59.24</v>
      </c>
      <c r="J113" s="131">
        <f t="shared" si="11"/>
        <v>710.88</v>
      </c>
      <c r="K113" s="25"/>
      <c r="M113" s="56"/>
      <c r="N113" s="4"/>
      <c r="O113" s="167" t="s">
        <v>44</v>
      </c>
      <c r="P113" s="167"/>
      <c r="Q113" s="167"/>
      <c r="R113" s="81"/>
      <c r="S113" s="167" t="s">
        <v>44</v>
      </c>
      <c r="T113" s="167"/>
      <c r="U113" s="167"/>
      <c r="V113" s="25"/>
    </row>
    <row r="114" spans="2:22" ht="49.5" customHeight="1" x14ac:dyDescent="0.2">
      <c r="B114" s="17"/>
      <c r="C114" s="43" t="s">
        <v>103</v>
      </c>
      <c r="D114" s="43"/>
      <c r="E114" s="44" t="s">
        <v>198</v>
      </c>
      <c r="F114" s="128" t="s">
        <v>315</v>
      </c>
      <c r="G114" s="46" t="s">
        <v>58</v>
      </c>
      <c r="H114" s="47">
        <v>10</v>
      </c>
      <c r="I114" s="130">
        <f>AVERAGE(S114:U114)</f>
        <v>208.12</v>
      </c>
      <c r="J114" s="131">
        <f t="shared" si="11"/>
        <v>2081.1999999999998</v>
      </c>
      <c r="K114" s="25"/>
      <c r="M114" s="56"/>
      <c r="N114" s="4"/>
      <c r="O114" s="131" t="s">
        <v>365</v>
      </c>
      <c r="P114" s="131" t="s">
        <v>366</v>
      </c>
      <c r="Q114" s="117" t="s">
        <v>367</v>
      </c>
      <c r="R114" s="81"/>
      <c r="S114" s="131">
        <v>220</v>
      </c>
      <c r="T114" s="131">
        <v>246.12</v>
      </c>
      <c r="U114" s="131">
        <v>158.24</v>
      </c>
      <c r="V114" s="25"/>
    </row>
    <row r="115" spans="2:22" ht="49.5" customHeight="1" x14ac:dyDescent="0.2">
      <c r="B115" s="17"/>
      <c r="C115" s="43" t="s">
        <v>104</v>
      </c>
      <c r="D115" s="43"/>
      <c r="E115" s="44" t="s">
        <v>198</v>
      </c>
      <c r="F115" s="128" t="s">
        <v>316</v>
      </c>
      <c r="G115" s="46" t="s">
        <v>58</v>
      </c>
      <c r="H115" s="47">
        <v>16</v>
      </c>
      <c r="I115" s="131">
        <f>AVERAGE(S115:U115)</f>
        <v>236.46333333333328</v>
      </c>
      <c r="J115" s="131">
        <f t="shared" si="11"/>
        <v>3783.4133333333325</v>
      </c>
      <c r="K115" s="25"/>
      <c r="M115" s="56"/>
      <c r="N115" s="4"/>
      <c r="O115" s="131" t="s">
        <v>365</v>
      </c>
      <c r="P115" s="131" t="s">
        <v>366</v>
      </c>
      <c r="Q115" s="117" t="s">
        <v>367</v>
      </c>
      <c r="R115" s="81"/>
      <c r="S115" s="131">
        <v>151</v>
      </c>
      <c r="T115" s="131">
        <v>451.08</v>
      </c>
      <c r="U115" s="131">
        <v>107.31</v>
      </c>
      <c r="V115" s="25"/>
    </row>
    <row r="116" spans="2:22" ht="49.5" customHeight="1" x14ac:dyDescent="0.2">
      <c r="B116" s="17"/>
      <c r="C116" s="43" t="s">
        <v>105</v>
      </c>
      <c r="D116" s="43">
        <v>3520</v>
      </c>
      <c r="E116" s="44" t="s">
        <v>44</v>
      </c>
      <c r="F116" s="128" t="s">
        <v>308</v>
      </c>
      <c r="G116" s="46" t="s">
        <v>58</v>
      </c>
      <c r="H116" s="47">
        <v>10</v>
      </c>
      <c r="I116" s="130">
        <v>5.78</v>
      </c>
      <c r="J116" s="131">
        <f t="shared" si="11"/>
        <v>57.800000000000004</v>
      </c>
      <c r="K116" s="25"/>
      <c r="M116" s="56"/>
      <c r="N116" s="4"/>
      <c r="O116" s="167" t="s">
        <v>44</v>
      </c>
      <c r="P116" s="167"/>
      <c r="Q116" s="167"/>
      <c r="R116" s="81"/>
      <c r="S116" s="167" t="s">
        <v>44</v>
      </c>
      <c r="T116" s="167"/>
      <c r="U116" s="167"/>
      <c r="V116" s="25"/>
    </row>
    <row r="117" spans="2:22" ht="49.5" customHeight="1" x14ac:dyDescent="0.2">
      <c r="B117" s="17"/>
      <c r="C117" s="43" t="s">
        <v>106</v>
      </c>
      <c r="D117" s="43"/>
      <c r="E117" s="44" t="s">
        <v>198</v>
      </c>
      <c r="F117" s="128" t="s">
        <v>317</v>
      </c>
      <c r="G117" s="46" t="s">
        <v>58</v>
      </c>
      <c r="H117" s="47">
        <v>22</v>
      </c>
      <c r="I117" s="130">
        <f>AVERAGE(S117:U117)</f>
        <v>106.58333333333333</v>
      </c>
      <c r="J117" s="131">
        <f t="shared" si="11"/>
        <v>2344.833333333333</v>
      </c>
      <c r="K117" s="25"/>
      <c r="M117" s="56"/>
      <c r="N117" s="4"/>
      <c r="O117" s="131" t="s">
        <v>365</v>
      </c>
      <c r="P117" s="131" t="s">
        <v>366</v>
      </c>
      <c r="Q117" s="117" t="s">
        <v>367</v>
      </c>
      <c r="R117" s="81"/>
      <c r="S117" s="131">
        <v>157</v>
      </c>
      <c r="T117" s="131">
        <v>51.18</v>
      </c>
      <c r="U117" s="131">
        <v>111.57</v>
      </c>
      <c r="V117" s="25"/>
    </row>
    <row r="118" spans="2:22" ht="49.5" customHeight="1" x14ac:dyDescent="0.2">
      <c r="B118" s="17"/>
      <c r="C118" s="43" t="s">
        <v>107</v>
      </c>
      <c r="D118" s="43">
        <v>3539</v>
      </c>
      <c r="E118" s="44" t="s">
        <v>44</v>
      </c>
      <c r="F118" s="128" t="s">
        <v>74</v>
      </c>
      <c r="G118" s="46" t="s">
        <v>58</v>
      </c>
      <c r="H118" s="47">
        <v>18</v>
      </c>
      <c r="I118" s="130">
        <v>18.89</v>
      </c>
      <c r="J118" s="131">
        <f t="shared" si="11"/>
        <v>340.02</v>
      </c>
      <c r="K118" s="25"/>
      <c r="M118" s="56"/>
      <c r="N118" s="4"/>
      <c r="O118" s="167" t="s">
        <v>44</v>
      </c>
      <c r="P118" s="167"/>
      <c r="Q118" s="167"/>
      <c r="R118" s="81"/>
      <c r="S118" s="167" t="s">
        <v>44</v>
      </c>
      <c r="T118" s="167"/>
      <c r="U118" s="167"/>
      <c r="V118" s="25"/>
    </row>
    <row r="119" spans="2:22" ht="49.5" customHeight="1" x14ac:dyDescent="0.2">
      <c r="B119" s="17"/>
      <c r="C119" s="43" t="s">
        <v>180</v>
      </c>
      <c r="D119" s="43">
        <v>3513</v>
      </c>
      <c r="E119" s="44" t="s">
        <v>44</v>
      </c>
      <c r="F119" s="128" t="s">
        <v>75</v>
      </c>
      <c r="G119" s="46" t="s">
        <v>58</v>
      </c>
      <c r="H119" s="47">
        <v>20</v>
      </c>
      <c r="I119" s="130">
        <v>83.94</v>
      </c>
      <c r="J119" s="131">
        <f t="shared" si="11"/>
        <v>1678.8</v>
      </c>
      <c r="K119" s="25"/>
      <c r="M119" s="56"/>
      <c r="N119" s="4"/>
      <c r="O119" s="167" t="s">
        <v>44</v>
      </c>
      <c r="P119" s="167"/>
      <c r="Q119" s="167"/>
      <c r="R119" s="81"/>
      <c r="S119" s="167" t="s">
        <v>44</v>
      </c>
      <c r="T119" s="167"/>
      <c r="U119" s="167"/>
      <c r="V119" s="25"/>
    </row>
    <row r="120" spans="2:22" ht="49.5" customHeight="1" x14ac:dyDescent="0.2">
      <c r="B120" s="17"/>
      <c r="C120" s="43" t="s">
        <v>108</v>
      </c>
      <c r="D120" s="43"/>
      <c r="E120" s="44" t="s">
        <v>198</v>
      </c>
      <c r="F120" s="128" t="s">
        <v>318</v>
      </c>
      <c r="G120" s="46" t="s">
        <v>58</v>
      </c>
      <c r="H120" s="47">
        <v>14</v>
      </c>
      <c r="I120" s="130">
        <f>AVERAGE(S120:U120)</f>
        <v>207.17333333333332</v>
      </c>
      <c r="J120" s="131">
        <f t="shared" si="11"/>
        <v>2900.4266666666663</v>
      </c>
      <c r="K120" s="25"/>
      <c r="M120" s="56"/>
      <c r="N120" s="4"/>
      <c r="O120" s="131" t="s">
        <v>365</v>
      </c>
      <c r="P120" s="131" t="s">
        <v>366</v>
      </c>
      <c r="Q120" s="117" t="s">
        <v>367</v>
      </c>
      <c r="R120" s="81"/>
      <c r="S120" s="131">
        <v>198</v>
      </c>
      <c r="T120" s="131">
        <v>199.08</v>
      </c>
      <c r="U120" s="131">
        <v>224.44</v>
      </c>
      <c r="V120" s="25"/>
    </row>
    <row r="121" spans="2:22" ht="49.5" customHeight="1" x14ac:dyDescent="0.2">
      <c r="B121" s="17"/>
      <c r="C121" s="43" t="s">
        <v>109</v>
      </c>
      <c r="D121" s="43">
        <v>3899</v>
      </c>
      <c r="E121" s="44" t="s">
        <v>44</v>
      </c>
      <c r="F121" s="128" t="s">
        <v>76</v>
      </c>
      <c r="G121" s="46" t="s">
        <v>58</v>
      </c>
      <c r="H121" s="47">
        <v>8</v>
      </c>
      <c r="I121" s="130">
        <v>4.41</v>
      </c>
      <c r="J121" s="131">
        <f t="shared" si="11"/>
        <v>35.28</v>
      </c>
      <c r="K121" s="25"/>
      <c r="M121" s="56"/>
      <c r="N121" s="4"/>
      <c r="O121" s="167" t="s">
        <v>44</v>
      </c>
      <c r="P121" s="167"/>
      <c r="Q121" s="167"/>
      <c r="R121" s="81"/>
      <c r="S121" s="167" t="s">
        <v>44</v>
      </c>
      <c r="T121" s="167"/>
      <c r="U121" s="167"/>
      <c r="V121" s="25"/>
    </row>
    <row r="122" spans="2:22" ht="49.5" customHeight="1" x14ac:dyDescent="0.2">
      <c r="B122" s="17"/>
      <c r="C122" s="43" t="s">
        <v>110</v>
      </c>
      <c r="D122" s="43"/>
      <c r="E122" s="44" t="s">
        <v>198</v>
      </c>
      <c r="F122" s="128" t="s">
        <v>319</v>
      </c>
      <c r="G122" s="46" t="s">
        <v>58</v>
      </c>
      <c r="H122" s="47">
        <v>36</v>
      </c>
      <c r="I122" s="130">
        <f>AVERAGE(S122:U122)</f>
        <v>25.773333333333337</v>
      </c>
      <c r="J122" s="131">
        <f t="shared" si="11"/>
        <v>927.84000000000015</v>
      </c>
      <c r="K122" s="25"/>
      <c r="M122" s="56"/>
      <c r="N122" s="4"/>
      <c r="O122" s="131" t="s">
        <v>365</v>
      </c>
      <c r="P122" s="131" t="s">
        <v>366</v>
      </c>
      <c r="Q122" s="117" t="s">
        <v>367</v>
      </c>
      <c r="R122" s="81"/>
      <c r="S122" s="131">
        <v>28.9</v>
      </c>
      <c r="T122" s="131">
        <v>27.91</v>
      </c>
      <c r="U122" s="131">
        <v>20.51</v>
      </c>
      <c r="V122" s="25"/>
    </row>
    <row r="123" spans="2:22" ht="49.5" customHeight="1" x14ac:dyDescent="0.2">
      <c r="B123" s="17"/>
      <c r="C123" s="43" t="s">
        <v>111</v>
      </c>
      <c r="D123" s="43"/>
      <c r="E123" s="44" t="s">
        <v>198</v>
      </c>
      <c r="F123" s="128" t="s">
        <v>320</v>
      </c>
      <c r="G123" s="46" t="s">
        <v>58</v>
      </c>
      <c r="H123" s="47">
        <v>56</v>
      </c>
      <c r="I123" s="131">
        <f>AVERAGE(S123:U123)</f>
        <v>70.263333333333335</v>
      </c>
      <c r="J123" s="131">
        <f t="shared" si="11"/>
        <v>3934.7466666666669</v>
      </c>
      <c r="K123" s="25"/>
      <c r="M123" s="56"/>
      <c r="N123" s="4"/>
      <c r="O123" s="131" t="s">
        <v>365</v>
      </c>
      <c r="P123" s="131" t="s">
        <v>366</v>
      </c>
      <c r="Q123" s="117" t="s">
        <v>367</v>
      </c>
      <c r="R123" s="81"/>
      <c r="S123" s="131">
        <v>68</v>
      </c>
      <c r="T123" s="131">
        <v>94.92</v>
      </c>
      <c r="U123" s="131">
        <v>47.87</v>
      </c>
      <c r="V123" s="25"/>
    </row>
    <row r="124" spans="2:22" ht="49.5" customHeight="1" x14ac:dyDescent="0.2">
      <c r="B124" s="17"/>
      <c r="C124" s="43" t="s">
        <v>112</v>
      </c>
      <c r="D124" s="43">
        <v>3867</v>
      </c>
      <c r="E124" s="44" t="s">
        <v>44</v>
      </c>
      <c r="F124" s="128" t="s">
        <v>265</v>
      </c>
      <c r="G124" s="46" t="s">
        <v>58</v>
      </c>
      <c r="H124" s="47">
        <v>8</v>
      </c>
      <c r="I124" s="130">
        <v>59.99</v>
      </c>
      <c r="J124" s="131">
        <f t="shared" si="11"/>
        <v>479.92</v>
      </c>
      <c r="K124" s="25"/>
      <c r="M124" s="56"/>
      <c r="N124" s="4"/>
      <c r="O124" s="167" t="s">
        <v>44</v>
      </c>
      <c r="P124" s="167"/>
      <c r="Q124" s="167"/>
      <c r="R124" s="81"/>
      <c r="S124" s="167" t="s">
        <v>44</v>
      </c>
      <c r="T124" s="167"/>
      <c r="U124" s="167"/>
      <c r="V124" s="25"/>
    </row>
    <row r="125" spans="2:22" ht="49.5" customHeight="1" x14ac:dyDescent="0.2">
      <c r="B125" s="17"/>
      <c r="C125" s="43" t="s">
        <v>113</v>
      </c>
      <c r="D125" s="43">
        <v>4214</v>
      </c>
      <c r="E125" s="44" t="s">
        <v>44</v>
      </c>
      <c r="F125" s="128" t="s">
        <v>188</v>
      </c>
      <c r="G125" s="46" t="s">
        <v>58</v>
      </c>
      <c r="H125" s="47">
        <v>20</v>
      </c>
      <c r="I125" s="130">
        <v>7.11</v>
      </c>
      <c r="J125" s="131">
        <f t="shared" si="11"/>
        <v>142.20000000000002</v>
      </c>
      <c r="K125" s="25"/>
      <c r="M125" s="56"/>
      <c r="N125" s="4"/>
      <c r="O125" s="167" t="s">
        <v>44</v>
      </c>
      <c r="P125" s="167"/>
      <c r="Q125" s="167"/>
      <c r="R125" s="81"/>
      <c r="S125" s="167" t="s">
        <v>44</v>
      </c>
      <c r="T125" s="167"/>
      <c r="U125" s="167"/>
      <c r="V125" s="25"/>
    </row>
    <row r="126" spans="2:22" ht="49.5" customHeight="1" x14ac:dyDescent="0.2">
      <c r="B126" s="17"/>
      <c r="C126" s="43" t="s">
        <v>114</v>
      </c>
      <c r="D126" s="43"/>
      <c r="E126" s="44" t="s">
        <v>198</v>
      </c>
      <c r="F126" s="128" t="s">
        <v>321</v>
      </c>
      <c r="G126" s="46" t="s">
        <v>58</v>
      </c>
      <c r="H126" s="47">
        <v>62</v>
      </c>
      <c r="I126" s="130">
        <f>AVERAGE(S126:U126)</f>
        <v>37.963333333333331</v>
      </c>
      <c r="J126" s="131">
        <f t="shared" si="11"/>
        <v>2353.7266666666665</v>
      </c>
      <c r="K126" s="25"/>
      <c r="M126" s="56"/>
      <c r="N126" s="4"/>
      <c r="O126" s="131" t="s">
        <v>365</v>
      </c>
      <c r="P126" s="131" t="s">
        <v>366</v>
      </c>
      <c r="Q126" s="117" t="s">
        <v>367</v>
      </c>
      <c r="R126" s="81"/>
      <c r="S126" s="131">
        <v>32.299999999999997</v>
      </c>
      <c r="T126" s="131">
        <v>58.65</v>
      </c>
      <c r="U126" s="131">
        <v>22.94</v>
      </c>
      <c r="V126" s="25"/>
    </row>
    <row r="127" spans="2:22" ht="49.5" customHeight="1" x14ac:dyDescent="0.2">
      <c r="B127" s="17"/>
      <c r="C127" s="43" t="s">
        <v>115</v>
      </c>
      <c r="D127" s="43"/>
      <c r="E127" s="44" t="s">
        <v>198</v>
      </c>
      <c r="F127" s="128" t="s">
        <v>322</v>
      </c>
      <c r="G127" s="46" t="s">
        <v>58</v>
      </c>
      <c r="H127" s="47">
        <v>2</v>
      </c>
      <c r="I127" s="131">
        <f>AVERAGE(S127:U127)</f>
        <v>66.336666666666659</v>
      </c>
      <c r="J127" s="131">
        <f t="shared" si="11"/>
        <v>132.67333333333332</v>
      </c>
      <c r="K127" s="25"/>
      <c r="M127" s="56"/>
      <c r="N127" s="4"/>
      <c r="O127" s="131" t="s">
        <v>365</v>
      </c>
      <c r="P127" s="131" t="s">
        <v>366</v>
      </c>
      <c r="Q127" s="117" t="s">
        <v>367</v>
      </c>
      <c r="R127" s="81"/>
      <c r="S127" s="131">
        <v>62.7</v>
      </c>
      <c r="T127" s="131">
        <v>91.8</v>
      </c>
      <c r="U127" s="131">
        <v>44.51</v>
      </c>
      <c r="V127" s="25"/>
    </row>
    <row r="128" spans="2:22" ht="49.5" customHeight="1" x14ac:dyDescent="0.2">
      <c r="B128" s="17"/>
      <c r="C128" s="43" t="s">
        <v>116</v>
      </c>
      <c r="D128" s="43"/>
      <c r="E128" s="44" t="s">
        <v>198</v>
      </c>
      <c r="F128" s="128" t="s">
        <v>323</v>
      </c>
      <c r="G128" s="46" t="s">
        <v>58</v>
      </c>
      <c r="H128" s="47">
        <v>2</v>
      </c>
      <c r="I128" s="131">
        <f>AVERAGE(S128:U128)</f>
        <v>9.6433333333333344</v>
      </c>
      <c r="J128" s="131">
        <f t="shared" si="11"/>
        <v>19.286666666666669</v>
      </c>
      <c r="K128" s="25"/>
      <c r="M128" s="56"/>
      <c r="N128" s="4"/>
      <c r="O128" s="131" t="s">
        <v>365</v>
      </c>
      <c r="P128" s="131" t="s">
        <v>366</v>
      </c>
      <c r="Q128" s="117" t="s">
        <v>367</v>
      </c>
      <c r="R128" s="81"/>
      <c r="S128" s="131">
        <v>12.05</v>
      </c>
      <c r="T128" s="131">
        <v>8.33</v>
      </c>
      <c r="U128" s="131">
        <v>8.5500000000000007</v>
      </c>
      <c r="V128" s="25"/>
    </row>
    <row r="129" spans="2:22" ht="49.5" customHeight="1" x14ac:dyDescent="0.2">
      <c r="B129" s="17"/>
      <c r="C129" s="43" t="s">
        <v>117</v>
      </c>
      <c r="D129" s="43">
        <v>7146</v>
      </c>
      <c r="E129" s="44" t="s">
        <v>44</v>
      </c>
      <c r="F129" s="128" t="s">
        <v>266</v>
      </c>
      <c r="G129" s="46" t="s">
        <v>58</v>
      </c>
      <c r="H129" s="47">
        <v>2</v>
      </c>
      <c r="I129" s="130">
        <v>129.91999999999999</v>
      </c>
      <c r="J129" s="131">
        <f t="shared" si="11"/>
        <v>259.83999999999997</v>
      </c>
      <c r="K129" s="25"/>
      <c r="M129" s="56"/>
      <c r="N129" s="4"/>
      <c r="O129" s="167" t="s">
        <v>44</v>
      </c>
      <c r="P129" s="167"/>
      <c r="Q129" s="167"/>
      <c r="R129" s="81"/>
      <c r="S129" s="167" t="s">
        <v>44</v>
      </c>
      <c r="T129" s="167"/>
      <c r="U129" s="167"/>
      <c r="V129" s="25"/>
    </row>
    <row r="130" spans="2:22" ht="49.5" customHeight="1" x14ac:dyDescent="0.2">
      <c r="B130" s="17"/>
      <c r="C130" s="43" t="s">
        <v>118</v>
      </c>
      <c r="D130" s="43"/>
      <c r="E130" s="44" t="s">
        <v>198</v>
      </c>
      <c r="F130" s="128" t="s">
        <v>324</v>
      </c>
      <c r="G130" s="46" t="s">
        <v>58</v>
      </c>
      <c r="H130" s="47">
        <v>14</v>
      </c>
      <c r="I130" s="130">
        <f>AVERAGE(S130:U130)</f>
        <v>100.33666666666666</v>
      </c>
      <c r="J130" s="131">
        <f t="shared" si="11"/>
        <v>1404.7133333333331</v>
      </c>
      <c r="K130" s="25"/>
      <c r="M130" s="56"/>
      <c r="N130" s="4"/>
      <c r="O130" s="131" t="s">
        <v>365</v>
      </c>
      <c r="P130" s="131" t="s">
        <v>366</v>
      </c>
      <c r="Q130" s="117" t="s">
        <v>367</v>
      </c>
      <c r="R130" s="81"/>
      <c r="S130" s="131">
        <v>96</v>
      </c>
      <c r="T130" s="131">
        <v>76.03</v>
      </c>
      <c r="U130" s="131">
        <v>128.97999999999999</v>
      </c>
      <c r="V130" s="25"/>
    </row>
    <row r="131" spans="2:22" ht="49.5" customHeight="1" x14ac:dyDescent="0.2">
      <c r="B131" s="17"/>
      <c r="C131" s="43" t="s">
        <v>119</v>
      </c>
      <c r="D131" s="43">
        <v>7145</v>
      </c>
      <c r="E131" s="44" t="s">
        <v>44</v>
      </c>
      <c r="F131" s="128" t="s">
        <v>77</v>
      </c>
      <c r="G131" s="46" t="s">
        <v>58</v>
      </c>
      <c r="H131" s="47">
        <v>16</v>
      </c>
      <c r="I131" s="130">
        <v>76.61</v>
      </c>
      <c r="J131" s="131">
        <f t="shared" si="11"/>
        <v>1225.76</v>
      </c>
      <c r="K131" s="25"/>
      <c r="M131" s="56"/>
      <c r="N131" s="4"/>
      <c r="O131" s="167" t="s">
        <v>44</v>
      </c>
      <c r="P131" s="167"/>
      <c r="Q131" s="167"/>
      <c r="R131" s="81"/>
      <c r="S131" s="167" t="s">
        <v>44</v>
      </c>
      <c r="T131" s="167"/>
      <c r="U131" s="167"/>
      <c r="V131" s="25"/>
    </row>
    <row r="132" spans="2:22" ht="49.5" customHeight="1" x14ac:dyDescent="0.2">
      <c r="B132" s="17"/>
      <c r="C132" s="43" t="s">
        <v>120</v>
      </c>
      <c r="D132" s="43">
        <v>7133</v>
      </c>
      <c r="E132" s="44" t="s">
        <v>44</v>
      </c>
      <c r="F132" s="128" t="s">
        <v>78</v>
      </c>
      <c r="G132" s="46" t="s">
        <v>58</v>
      </c>
      <c r="H132" s="47">
        <v>19</v>
      </c>
      <c r="I132" s="130">
        <v>59.8</v>
      </c>
      <c r="J132" s="131">
        <f t="shared" si="11"/>
        <v>1136.2</v>
      </c>
      <c r="K132" s="25"/>
      <c r="M132" s="56"/>
      <c r="N132" s="4"/>
      <c r="O132" s="167" t="s">
        <v>44</v>
      </c>
      <c r="P132" s="167"/>
      <c r="Q132" s="167"/>
      <c r="R132" s="81"/>
      <c r="S132" s="167" t="s">
        <v>44</v>
      </c>
      <c r="T132" s="167"/>
      <c r="U132" s="167"/>
      <c r="V132" s="25"/>
    </row>
    <row r="133" spans="2:22" ht="49.5" customHeight="1" x14ac:dyDescent="0.2">
      <c r="B133" s="17"/>
      <c r="C133" s="43" t="s">
        <v>121</v>
      </c>
      <c r="D133" s="43"/>
      <c r="E133" s="44" t="s">
        <v>198</v>
      </c>
      <c r="F133" s="128" t="s">
        <v>325</v>
      </c>
      <c r="G133" s="46" t="s">
        <v>58</v>
      </c>
      <c r="H133" s="47">
        <v>24</v>
      </c>
      <c r="I133" s="130">
        <f>AVERAGE(S133:U133)</f>
        <v>190.78</v>
      </c>
      <c r="J133" s="131">
        <f t="shared" si="11"/>
        <v>4578.72</v>
      </c>
      <c r="K133" s="25"/>
      <c r="M133" s="56"/>
      <c r="N133" s="4"/>
      <c r="O133" s="131" t="s">
        <v>365</v>
      </c>
      <c r="P133" s="131" t="s">
        <v>366</v>
      </c>
      <c r="Q133" s="117" t="s">
        <v>367</v>
      </c>
      <c r="R133" s="81"/>
      <c r="S133" s="131">
        <v>260</v>
      </c>
      <c r="T133" s="131">
        <v>148.55000000000001</v>
      </c>
      <c r="U133" s="131">
        <v>163.79</v>
      </c>
      <c r="V133" s="25"/>
    </row>
    <row r="134" spans="2:22" ht="49.5" customHeight="1" x14ac:dyDescent="0.2">
      <c r="B134" s="17"/>
      <c r="C134" s="43" t="s">
        <v>122</v>
      </c>
      <c r="D134" s="43"/>
      <c r="E134" s="44" t="s">
        <v>198</v>
      </c>
      <c r="F134" s="128" t="s">
        <v>326</v>
      </c>
      <c r="G134" s="46" t="s">
        <v>58</v>
      </c>
      <c r="H134" s="47">
        <v>4</v>
      </c>
      <c r="I134" s="131">
        <f>AVERAGE(S134:U134)</f>
        <v>211.14666666666665</v>
      </c>
      <c r="J134" s="131">
        <f t="shared" si="11"/>
        <v>844.58666666666659</v>
      </c>
      <c r="K134" s="25"/>
      <c r="M134" s="56"/>
      <c r="N134" s="4"/>
      <c r="O134" s="131" t="s">
        <v>365</v>
      </c>
      <c r="P134" s="131" t="s">
        <v>366</v>
      </c>
      <c r="Q134" s="117" t="s">
        <v>367</v>
      </c>
      <c r="R134" s="81"/>
      <c r="S134" s="131">
        <v>230</v>
      </c>
      <c r="T134" s="131">
        <v>239.65</v>
      </c>
      <c r="U134" s="131">
        <v>163.79</v>
      </c>
      <c r="V134" s="25"/>
    </row>
    <row r="135" spans="2:22" ht="49.5" customHeight="1" x14ac:dyDescent="0.2">
      <c r="B135" s="17"/>
      <c r="C135" s="43" t="s">
        <v>123</v>
      </c>
      <c r="D135" s="43">
        <v>9841</v>
      </c>
      <c r="E135" s="44" t="s">
        <v>44</v>
      </c>
      <c r="F135" s="128" t="s">
        <v>309</v>
      </c>
      <c r="G135" s="46" t="s">
        <v>58</v>
      </c>
      <c r="H135" s="47">
        <v>100</v>
      </c>
      <c r="I135" s="130">
        <v>25.12</v>
      </c>
      <c r="J135" s="131">
        <f t="shared" si="11"/>
        <v>2512</v>
      </c>
      <c r="K135" s="25"/>
      <c r="M135" s="56"/>
      <c r="N135" s="4"/>
      <c r="O135" s="167" t="s">
        <v>44</v>
      </c>
      <c r="P135" s="167"/>
      <c r="Q135" s="167"/>
      <c r="R135" s="81"/>
      <c r="S135" s="167" t="s">
        <v>44</v>
      </c>
      <c r="T135" s="167"/>
      <c r="U135" s="167"/>
      <c r="V135" s="25"/>
    </row>
    <row r="136" spans="2:22" ht="49.5" customHeight="1" x14ac:dyDescent="0.2">
      <c r="B136" s="17"/>
      <c r="C136" s="43" t="s">
        <v>124</v>
      </c>
      <c r="D136" s="43">
        <v>9870</v>
      </c>
      <c r="E136" s="44" t="s">
        <v>44</v>
      </c>
      <c r="F136" s="128" t="s">
        <v>267</v>
      </c>
      <c r="G136" s="46" t="s">
        <v>58</v>
      </c>
      <c r="H136" s="47">
        <v>186</v>
      </c>
      <c r="I136" s="130">
        <v>61.1</v>
      </c>
      <c r="J136" s="131">
        <f t="shared" si="11"/>
        <v>11364.6</v>
      </c>
      <c r="K136" s="25"/>
      <c r="M136" s="56"/>
      <c r="N136" s="4"/>
      <c r="O136" s="167" t="s">
        <v>44</v>
      </c>
      <c r="P136" s="167"/>
      <c r="Q136" s="167"/>
      <c r="R136" s="81"/>
      <c r="S136" s="167" t="s">
        <v>44</v>
      </c>
      <c r="T136" s="167"/>
      <c r="U136" s="167"/>
      <c r="V136" s="25"/>
    </row>
    <row r="137" spans="2:22" ht="49.5" customHeight="1" x14ac:dyDescent="0.2">
      <c r="B137" s="17"/>
      <c r="C137" s="43" t="s">
        <v>125</v>
      </c>
      <c r="D137" s="43"/>
      <c r="E137" s="44" t="s">
        <v>198</v>
      </c>
      <c r="F137" s="128" t="s">
        <v>327</v>
      </c>
      <c r="G137" s="46" t="s">
        <v>58</v>
      </c>
      <c r="H137" s="47">
        <v>100</v>
      </c>
      <c r="I137" s="130">
        <f>AVERAGE(S137:U137)</f>
        <v>40.659444444444453</v>
      </c>
      <c r="J137" s="131">
        <f t="shared" si="11"/>
        <v>4065.9444444444453</v>
      </c>
      <c r="K137" s="25"/>
      <c r="M137" s="56"/>
      <c r="N137" s="4"/>
      <c r="O137" s="131" t="s">
        <v>365</v>
      </c>
      <c r="P137" s="131" t="s">
        <v>366</v>
      </c>
      <c r="Q137" s="117" t="s">
        <v>367</v>
      </c>
      <c r="R137" s="81"/>
      <c r="S137" s="131">
        <v>43.5</v>
      </c>
      <c r="T137" s="131">
        <f>215/6</f>
        <v>35.833333333333336</v>
      </c>
      <c r="U137" s="131">
        <f>255.87/6</f>
        <v>42.645000000000003</v>
      </c>
      <c r="V137" s="25"/>
    </row>
    <row r="138" spans="2:22" ht="49.5" customHeight="1" x14ac:dyDescent="0.2">
      <c r="B138" s="17"/>
      <c r="C138" s="43" t="s">
        <v>126</v>
      </c>
      <c r="D138" s="43">
        <v>9875</v>
      </c>
      <c r="E138" s="44" t="s">
        <v>44</v>
      </c>
      <c r="F138" s="128" t="s">
        <v>310</v>
      </c>
      <c r="G138" s="46" t="s">
        <v>58</v>
      </c>
      <c r="H138" s="47">
        <v>48</v>
      </c>
      <c r="I138" s="130">
        <v>10.78</v>
      </c>
      <c r="J138" s="131">
        <f t="shared" si="11"/>
        <v>517.43999999999994</v>
      </c>
      <c r="K138" s="25"/>
      <c r="M138" s="56"/>
      <c r="N138" s="4"/>
      <c r="O138" s="167" t="s">
        <v>44</v>
      </c>
      <c r="P138" s="167"/>
      <c r="Q138" s="167"/>
      <c r="R138" s="81"/>
      <c r="S138" s="167" t="s">
        <v>44</v>
      </c>
      <c r="T138" s="167"/>
      <c r="U138" s="167"/>
      <c r="V138" s="25"/>
    </row>
    <row r="139" spans="2:22" ht="49.5" customHeight="1" x14ac:dyDescent="0.2">
      <c r="B139" s="17"/>
      <c r="C139" s="43" t="s">
        <v>127</v>
      </c>
      <c r="D139" s="43">
        <v>9871</v>
      </c>
      <c r="E139" s="44" t="s">
        <v>44</v>
      </c>
      <c r="F139" s="128" t="s">
        <v>311</v>
      </c>
      <c r="G139" s="46" t="s">
        <v>58</v>
      </c>
      <c r="H139" s="47">
        <v>2</v>
      </c>
      <c r="I139" s="130">
        <v>30.48</v>
      </c>
      <c r="J139" s="131">
        <f t="shared" si="11"/>
        <v>60.96</v>
      </c>
      <c r="K139" s="25"/>
      <c r="M139" s="56"/>
      <c r="N139" s="4"/>
      <c r="O139" s="167" t="s">
        <v>44</v>
      </c>
      <c r="P139" s="167"/>
      <c r="Q139" s="167"/>
      <c r="R139" s="81"/>
      <c r="S139" s="167" t="s">
        <v>44</v>
      </c>
      <c r="T139" s="167"/>
      <c r="U139" s="167"/>
      <c r="V139" s="25"/>
    </row>
    <row r="140" spans="2:22" ht="49.5" customHeight="1" x14ac:dyDescent="0.2">
      <c r="B140" s="17"/>
      <c r="C140" s="43" t="s">
        <v>128</v>
      </c>
      <c r="D140" s="43">
        <v>9872</v>
      </c>
      <c r="E140" s="44" t="s">
        <v>44</v>
      </c>
      <c r="F140" s="128" t="s">
        <v>268</v>
      </c>
      <c r="G140" s="46" t="s">
        <v>58</v>
      </c>
      <c r="H140" s="47">
        <v>150</v>
      </c>
      <c r="I140" s="130">
        <v>38.08</v>
      </c>
      <c r="J140" s="131">
        <f t="shared" si="11"/>
        <v>5712</v>
      </c>
      <c r="K140" s="25"/>
      <c r="M140" s="56"/>
      <c r="N140" s="4"/>
      <c r="O140" s="167" t="s">
        <v>44</v>
      </c>
      <c r="P140" s="167"/>
      <c r="Q140" s="167"/>
      <c r="R140" s="81"/>
      <c r="S140" s="167" t="s">
        <v>44</v>
      </c>
      <c r="T140" s="167"/>
      <c r="U140" s="167"/>
      <c r="V140" s="25"/>
    </row>
    <row r="141" spans="2:22" ht="49.5" customHeight="1" x14ac:dyDescent="0.2">
      <c r="B141" s="17"/>
      <c r="C141" s="43" t="s">
        <v>129</v>
      </c>
      <c r="D141" s="43"/>
      <c r="E141" s="44" t="s">
        <v>198</v>
      </c>
      <c r="F141" s="128" t="s">
        <v>328</v>
      </c>
      <c r="G141" s="46" t="s">
        <v>58</v>
      </c>
      <c r="H141" s="47">
        <v>134</v>
      </c>
      <c r="I141" s="130">
        <f>AVERAGE(S141:U141)</f>
        <v>95.293333333333337</v>
      </c>
      <c r="J141" s="131">
        <f t="shared" si="11"/>
        <v>12769.306666666667</v>
      </c>
      <c r="K141" s="25"/>
      <c r="M141" s="56"/>
      <c r="N141" s="4"/>
      <c r="O141" s="131" t="s">
        <v>365</v>
      </c>
      <c r="P141" s="131" t="s">
        <v>366</v>
      </c>
      <c r="Q141" s="117" t="s">
        <v>367</v>
      </c>
      <c r="R141" s="81"/>
      <c r="S141" s="131">
        <v>112.8</v>
      </c>
      <c r="T141" s="131">
        <f>557.76/6</f>
        <v>92.96</v>
      </c>
      <c r="U141" s="131">
        <f>480.72/6</f>
        <v>80.12</v>
      </c>
      <c r="V141" s="25"/>
    </row>
    <row r="142" spans="2:22" s="150" customFormat="1" ht="49.5" customHeight="1" x14ac:dyDescent="0.2">
      <c r="B142" s="147"/>
      <c r="C142" s="43" t="s">
        <v>130</v>
      </c>
      <c r="D142" s="43"/>
      <c r="E142" s="44" t="s">
        <v>198</v>
      </c>
      <c r="F142" s="128" t="s">
        <v>383</v>
      </c>
      <c r="G142" s="46"/>
      <c r="H142" s="47">
        <v>216</v>
      </c>
      <c r="I142" s="145">
        <f>AVERAGE(S142:U142)</f>
        <v>58.423333333333325</v>
      </c>
      <c r="J142" s="145">
        <f t="shared" si="11"/>
        <v>12619.439999999999</v>
      </c>
      <c r="K142" s="148"/>
      <c r="L142" s="102"/>
      <c r="M142" s="100"/>
      <c r="N142" s="149"/>
      <c r="O142" s="146" t="s">
        <v>365</v>
      </c>
      <c r="P142" s="145" t="s">
        <v>366</v>
      </c>
      <c r="Q142" s="117" t="s">
        <v>367</v>
      </c>
      <c r="R142" s="81"/>
      <c r="S142" s="145">
        <v>63.33</v>
      </c>
      <c r="T142" s="145">
        <f>268.8/6</f>
        <v>44.800000000000004</v>
      </c>
      <c r="U142" s="145">
        <v>67.14</v>
      </c>
      <c r="V142" s="148"/>
    </row>
    <row r="143" spans="2:22" ht="49.5" customHeight="1" x14ac:dyDescent="0.2">
      <c r="B143" s="17"/>
      <c r="C143" s="43" t="s">
        <v>131</v>
      </c>
      <c r="D143" s="43">
        <v>9908</v>
      </c>
      <c r="E143" s="44" t="s">
        <v>44</v>
      </c>
      <c r="F143" s="128" t="s">
        <v>269</v>
      </c>
      <c r="G143" s="46" t="s">
        <v>58</v>
      </c>
      <c r="H143" s="47">
        <v>12</v>
      </c>
      <c r="I143" s="130">
        <v>345.04</v>
      </c>
      <c r="J143" s="131">
        <f t="shared" si="11"/>
        <v>4140.4800000000005</v>
      </c>
      <c r="K143" s="25"/>
      <c r="M143" s="56"/>
      <c r="N143" s="4"/>
      <c r="O143" s="167" t="s">
        <v>44</v>
      </c>
      <c r="P143" s="167"/>
      <c r="Q143" s="167"/>
      <c r="R143" s="81"/>
      <c r="S143" s="167" t="s">
        <v>44</v>
      </c>
      <c r="T143" s="167"/>
      <c r="U143" s="167"/>
      <c r="V143" s="25"/>
    </row>
    <row r="144" spans="2:22" ht="49.5" customHeight="1" x14ac:dyDescent="0.2">
      <c r="B144" s="17"/>
      <c r="C144" s="43" t="s">
        <v>132</v>
      </c>
      <c r="D144" s="43">
        <v>9909</v>
      </c>
      <c r="E144" s="44" t="s">
        <v>44</v>
      </c>
      <c r="F144" s="128" t="s">
        <v>312</v>
      </c>
      <c r="G144" s="46" t="s">
        <v>58</v>
      </c>
      <c r="H144" s="47">
        <v>4</v>
      </c>
      <c r="I144" s="130">
        <v>121.42</v>
      </c>
      <c r="J144" s="131">
        <f t="shared" si="11"/>
        <v>485.68</v>
      </c>
      <c r="K144" s="25"/>
      <c r="M144" s="56"/>
      <c r="N144" s="4"/>
      <c r="O144" s="167" t="s">
        <v>44</v>
      </c>
      <c r="P144" s="167"/>
      <c r="Q144" s="167"/>
      <c r="R144" s="81"/>
      <c r="S144" s="167" t="s">
        <v>44</v>
      </c>
      <c r="T144" s="167"/>
      <c r="U144" s="167"/>
      <c r="V144" s="25"/>
    </row>
    <row r="145" spans="2:22" ht="49.5" customHeight="1" x14ac:dyDescent="0.2">
      <c r="B145" s="17"/>
      <c r="C145" s="43" t="s">
        <v>133</v>
      </c>
      <c r="D145" s="43">
        <v>9907</v>
      </c>
      <c r="E145" s="44" t="s">
        <v>44</v>
      </c>
      <c r="F145" s="128" t="s">
        <v>313</v>
      </c>
      <c r="G145" s="46" t="s">
        <v>58</v>
      </c>
      <c r="H145" s="47">
        <v>22</v>
      </c>
      <c r="I145" s="130">
        <v>186.7</v>
      </c>
      <c r="J145" s="131">
        <f t="shared" si="11"/>
        <v>4107.3999999999996</v>
      </c>
      <c r="K145" s="25"/>
      <c r="M145" s="56"/>
      <c r="N145" s="4"/>
      <c r="O145" s="167" t="s">
        <v>44</v>
      </c>
      <c r="P145" s="167"/>
      <c r="Q145" s="167"/>
      <c r="R145" s="81"/>
      <c r="S145" s="167" t="s">
        <v>44</v>
      </c>
      <c r="T145" s="167"/>
      <c r="U145" s="167"/>
      <c r="V145" s="25"/>
    </row>
    <row r="146" spans="2:22" ht="49.5" customHeight="1" x14ac:dyDescent="0.2">
      <c r="B146" s="17"/>
      <c r="C146" s="43" t="s">
        <v>134</v>
      </c>
      <c r="D146" s="43"/>
      <c r="E146" s="44" t="s">
        <v>198</v>
      </c>
      <c r="F146" s="128" t="s">
        <v>329</v>
      </c>
      <c r="G146" s="46" t="s">
        <v>58</v>
      </c>
      <c r="H146" s="47">
        <v>4</v>
      </c>
      <c r="I146" s="130">
        <f t="shared" ref="I146:I151" si="12">AVERAGE(S146:U146)</f>
        <v>490.73</v>
      </c>
      <c r="J146" s="131">
        <f t="shared" si="11"/>
        <v>1962.92</v>
      </c>
      <c r="K146" s="25"/>
      <c r="M146" s="56"/>
      <c r="N146" s="4"/>
      <c r="O146" s="131" t="s">
        <v>365</v>
      </c>
      <c r="P146" s="131" t="s">
        <v>366</v>
      </c>
      <c r="Q146" s="117" t="s">
        <v>367</v>
      </c>
      <c r="R146" s="81"/>
      <c r="S146" s="131">
        <v>680</v>
      </c>
      <c r="T146" s="131">
        <v>361.84</v>
      </c>
      <c r="U146" s="131">
        <v>430.35</v>
      </c>
      <c r="V146" s="25"/>
    </row>
    <row r="147" spans="2:22" ht="49.5" customHeight="1" x14ac:dyDescent="0.2">
      <c r="B147" s="17"/>
      <c r="C147" s="43" t="s">
        <v>135</v>
      </c>
      <c r="D147" s="43"/>
      <c r="E147" s="44" t="s">
        <v>198</v>
      </c>
      <c r="F147" s="128" t="s">
        <v>330</v>
      </c>
      <c r="G147" s="46" t="s">
        <v>58</v>
      </c>
      <c r="H147" s="47">
        <v>20</v>
      </c>
      <c r="I147" s="131">
        <f t="shared" si="12"/>
        <v>54.54666666666666</v>
      </c>
      <c r="J147" s="131">
        <f t="shared" si="11"/>
        <v>1090.9333333333332</v>
      </c>
      <c r="K147" s="25"/>
      <c r="M147" s="56"/>
      <c r="N147" s="4"/>
      <c r="O147" s="131" t="s">
        <v>365</v>
      </c>
      <c r="P147" s="131" t="s">
        <v>366</v>
      </c>
      <c r="Q147" s="117" t="s">
        <v>367</v>
      </c>
      <c r="R147" s="81"/>
      <c r="S147" s="131">
        <v>51</v>
      </c>
      <c r="T147" s="131">
        <v>57.83</v>
      </c>
      <c r="U147" s="131">
        <v>54.81</v>
      </c>
      <c r="V147" s="25"/>
    </row>
    <row r="148" spans="2:22" ht="49.5" customHeight="1" x14ac:dyDescent="0.2">
      <c r="B148" s="17"/>
      <c r="C148" s="43" t="s">
        <v>136</v>
      </c>
      <c r="D148" s="43"/>
      <c r="E148" s="44" t="s">
        <v>198</v>
      </c>
      <c r="F148" s="128" t="s">
        <v>331</v>
      </c>
      <c r="G148" s="46" t="s">
        <v>58</v>
      </c>
      <c r="H148" s="47">
        <v>18</v>
      </c>
      <c r="I148" s="131">
        <f t="shared" si="12"/>
        <v>92.776666666666685</v>
      </c>
      <c r="J148" s="131">
        <f t="shared" si="11"/>
        <v>1669.9800000000002</v>
      </c>
      <c r="K148" s="25"/>
      <c r="M148" s="56"/>
      <c r="N148" s="4"/>
      <c r="O148" s="131" t="s">
        <v>365</v>
      </c>
      <c r="P148" s="131" t="s">
        <v>366</v>
      </c>
      <c r="Q148" s="117" t="s">
        <v>367</v>
      </c>
      <c r="R148" s="81"/>
      <c r="S148" s="131">
        <v>98.5</v>
      </c>
      <c r="T148" s="131">
        <v>94.05</v>
      </c>
      <c r="U148" s="131">
        <v>85.78</v>
      </c>
      <c r="V148" s="25"/>
    </row>
    <row r="149" spans="2:22" ht="49.5" customHeight="1" x14ac:dyDescent="0.2">
      <c r="B149" s="17"/>
      <c r="C149" s="43" t="s">
        <v>137</v>
      </c>
      <c r="D149" s="43"/>
      <c r="E149" s="44" t="s">
        <v>198</v>
      </c>
      <c r="F149" s="128" t="s">
        <v>332</v>
      </c>
      <c r="G149" s="46" t="s">
        <v>58</v>
      </c>
      <c r="H149" s="47">
        <v>56</v>
      </c>
      <c r="I149" s="131">
        <f t="shared" si="12"/>
        <v>324.99</v>
      </c>
      <c r="J149" s="131">
        <f t="shared" si="11"/>
        <v>18199.440000000002</v>
      </c>
      <c r="K149" s="25"/>
      <c r="M149" s="56"/>
      <c r="N149" s="4"/>
      <c r="O149" s="131" t="s">
        <v>365</v>
      </c>
      <c r="P149" s="131" t="s">
        <v>366</v>
      </c>
      <c r="Q149" s="117" t="s">
        <v>367</v>
      </c>
      <c r="R149" s="81"/>
      <c r="S149" s="131">
        <v>309</v>
      </c>
      <c r="T149" s="131">
        <v>348.29</v>
      </c>
      <c r="U149" s="131">
        <v>317.68</v>
      </c>
      <c r="V149" s="25"/>
    </row>
    <row r="150" spans="2:22" ht="49.5" customHeight="1" x14ac:dyDescent="0.2">
      <c r="B150" s="17"/>
      <c r="C150" s="43" t="s">
        <v>138</v>
      </c>
      <c r="D150" s="43"/>
      <c r="E150" s="44" t="s">
        <v>198</v>
      </c>
      <c r="F150" s="128" t="s">
        <v>333</v>
      </c>
      <c r="G150" s="46" t="s">
        <v>58</v>
      </c>
      <c r="H150" s="47">
        <v>10</v>
      </c>
      <c r="I150" s="131">
        <f t="shared" si="12"/>
        <v>624.04666666666674</v>
      </c>
      <c r="J150" s="131">
        <f t="shared" si="11"/>
        <v>6240.4666666666672</v>
      </c>
      <c r="K150" s="25"/>
      <c r="M150" s="56"/>
      <c r="N150" s="4"/>
      <c r="O150" s="131" t="s">
        <v>365</v>
      </c>
      <c r="P150" s="131" t="s">
        <v>366</v>
      </c>
      <c r="Q150" s="117" t="s">
        <v>367</v>
      </c>
      <c r="R150" s="81"/>
      <c r="S150" s="131">
        <v>513</v>
      </c>
      <c r="T150" s="131">
        <v>766.38</v>
      </c>
      <c r="U150" s="131">
        <v>592.76</v>
      </c>
      <c r="V150" s="25"/>
    </row>
    <row r="151" spans="2:22" ht="49.5" customHeight="1" x14ac:dyDescent="0.2">
      <c r="B151" s="17"/>
      <c r="C151" s="43" t="s">
        <v>139</v>
      </c>
      <c r="D151" s="43"/>
      <c r="E151" s="44" t="s">
        <v>198</v>
      </c>
      <c r="F151" s="128" t="s">
        <v>334</v>
      </c>
      <c r="G151" s="46" t="s">
        <v>58</v>
      </c>
      <c r="H151" s="47">
        <v>4</v>
      </c>
      <c r="I151" s="131">
        <f t="shared" si="12"/>
        <v>1309.25</v>
      </c>
      <c r="J151" s="131">
        <f t="shared" si="11"/>
        <v>5237</v>
      </c>
      <c r="K151" s="25"/>
      <c r="M151" s="56"/>
      <c r="N151" s="4"/>
      <c r="O151" s="131" t="s">
        <v>365</v>
      </c>
      <c r="P151" s="131" t="s">
        <v>366</v>
      </c>
      <c r="Q151" s="117" t="s">
        <v>367</v>
      </c>
      <c r="R151" s="81"/>
      <c r="S151" s="131">
        <v>2680</v>
      </c>
      <c r="T151" s="131">
        <v>658.75</v>
      </c>
      <c r="U151" s="131">
        <v>589</v>
      </c>
      <c r="V151" s="25"/>
    </row>
    <row r="152" spans="2:22" ht="49.5" customHeight="1" x14ac:dyDescent="0.2">
      <c r="B152" s="17"/>
      <c r="C152" s="43" t="s">
        <v>140</v>
      </c>
      <c r="D152" s="43">
        <v>10407</v>
      </c>
      <c r="E152" s="44" t="s">
        <v>44</v>
      </c>
      <c r="F152" s="128" t="s">
        <v>314</v>
      </c>
      <c r="G152" s="46" t="s">
        <v>58</v>
      </c>
      <c r="H152" s="47">
        <v>26</v>
      </c>
      <c r="I152" s="130">
        <v>476.86</v>
      </c>
      <c r="J152" s="131">
        <f t="shared" si="11"/>
        <v>12398.36</v>
      </c>
      <c r="K152" s="25"/>
      <c r="M152" s="56"/>
      <c r="N152" s="4"/>
      <c r="O152" s="167" t="s">
        <v>44</v>
      </c>
      <c r="P152" s="167"/>
      <c r="Q152" s="167"/>
      <c r="R152" s="81"/>
      <c r="S152" s="167" t="s">
        <v>44</v>
      </c>
      <c r="T152" s="167"/>
      <c r="U152" s="167"/>
      <c r="V152" s="25"/>
    </row>
    <row r="153" spans="2:22" ht="50.25" customHeight="1" x14ac:dyDescent="0.2">
      <c r="B153" s="17"/>
      <c r="C153" s="43" t="s">
        <v>141</v>
      </c>
      <c r="D153" s="43"/>
      <c r="E153" s="44" t="s">
        <v>198</v>
      </c>
      <c r="F153" s="128" t="s">
        <v>336</v>
      </c>
      <c r="G153" s="46" t="s">
        <v>58</v>
      </c>
      <c r="H153" s="47">
        <v>12</v>
      </c>
      <c r="I153" s="131">
        <f>AVERAGE(S153:U153)</f>
        <v>1.5166666666666666</v>
      </c>
      <c r="J153" s="131">
        <f t="shared" si="11"/>
        <v>18.2</v>
      </c>
      <c r="K153" s="25"/>
      <c r="M153" s="56"/>
      <c r="N153" s="4"/>
      <c r="O153" s="131" t="s">
        <v>368</v>
      </c>
      <c r="P153" s="131" t="s">
        <v>369</v>
      </c>
      <c r="Q153" s="117" t="s">
        <v>170</v>
      </c>
      <c r="R153" s="81"/>
      <c r="S153" s="131">
        <v>1.7</v>
      </c>
      <c r="T153" s="131">
        <v>1.2</v>
      </c>
      <c r="U153" s="131">
        <v>1.65</v>
      </c>
      <c r="V153" s="25"/>
    </row>
    <row r="154" spans="2:22" ht="50.25" customHeight="1" x14ac:dyDescent="0.2">
      <c r="B154" s="17"/>
      <c r="C154" s="43" t="s">
        <v>142</v>
      </c>
      <c r="D154" s="43"/>
      <c r="E154" s="44" t="s">
        <v>198</v>
      </c>
      <c r="F154" s="128" t="s">
        <v>337</v>
      </c>
      <c r="G154" s="46" t="s">
        <v>88</v>
      </c>
      <c r="H154" s="47">
        <v>12</v>
      </c>
      <c r="I154" s="131">
        <f>AVERAGE(S154:U154)</f>
        <v>6.913333333333334</v>
      </c>
      <c r="J154" s="131">
        <f t="shared" si="11"/>
        <v>82.960000000000008</v>
      </c>
      <c r="K154" s="25"/>
      <c r="M154" s="56"/>
      <c r="N154" s="4"/>
      <c r="O154" s="131" t="s">
        <v>368</v>
      </c>
      <c r="P154" s="131" t="s">
        <v>369</v>
      </c>
      <c r="Q154" s="117" t="s">
        <v>170</v>
      </c>
      <c r="R154" s="81"/>
      <c r="S154" s="131">
        <v>7.94</v>
      </c>
      <c r="T154" s="131">
        <v>5.3</v>
      </c>
      <c r="U154" s="131">
        <v>7.5</v>
      </c>
      <c r="V154" s="25"/>
    </row>
    <row r="155" spans="2:22" ht="50.25" customHeight="1" x14ac:dyDescent="0.2">
      <c r="B155" s="17"/>
      <c r="C155" s="43" t="s">
        <v>143</v>
      </c>
      <c r="D155" s="43"/>
      <c r="E155" s="44" t="s">
        <v>198</v>
      </c>
      <c r="F155" s="128" t="s">
        <v>338</v>
      </c>
      <c r="G155" s="46" t="s">
        <v>88</v>
      </c>
      <c r="H155" s="47">
        <v>150</v>
      </c>
      <c r="I155" s="131">
        <f t="shared" ref="I155:I181" si="13">AVERAGE(S155:U155)</f>
        <v>18.499999999999996</v>
      </c>
      <c r="J155" s="131">
        <f t="shared" si="11"/>
        <v>2774.9999999999995</v>
      </c>
      <c r="K155" s="25"/>
      <c r="M155" s="56"/>
      <c r="N155" s="4"/>
      <c r="O155" s="131" t="s">
        <v>368</v>
      </c>
      <c r="P155" s="131" t="s">
        <v>369</v>
      </c>
      <c r="Q155" s="117" t="s">
        <v>170</v>
      </c>
      <c r="R155" s="81"/>
      <c r="S155" s="131">
        <v>21.15</v>
      </c>
      <c r="T155" s="131">
        <v>15.95</v>
      </c>
      <c r="U155" s="131">
        <v>18.399999999999999</v>
      </c>
      <c r="V155" s="25"/>
    </row>
    <row r="156" spans="2:22" ht="50.25" customHeight="1" x14ac:dyDescent="0.2">
      <c r="B156" s="17"/>
      <c r="C156" s="43" t="s">
        <v>144</v>
      </c>
      <c r="D156" s="43"/>
      <c r="E156" s="44" t="s">
        <v>198</v>
      </c>
      <c r="F156" s="128" t="s">
        <v>339</v>
      </c>
      <c r="G156" s="46" t="s">
        <v>88</v>
      </c>
      <c r="H156" s="47">
        <v>480</v>
      </c>
      <c r="I156" s="131">
        <f t="shared" si="13"/>
        <v>28.506666666666671</v>
      </c>
      <c r="J156" s="131">
        <f t="shared" si="11"/>
        <v>13683.200000000003</v>
      </c>
      <c r="K156" s="25"/>
      <c r="M156" s="56"/>
      <c r="N156" s="4"/>
      <c r="O156" s="131" t="s">
        <v>368</v>
      </c>
      <c r="P156" s="131" t="s">
        <v>369</v>
      </c>
      <c r="Q156" s="117" t="s">
        <v>170</v>
      </c>
      <c r="R156" s="81"/>
      <c r="S156" s="131">
        <v>32.42</v>
      </c>
      <c r="T156" s="131">
        <v>24.1</v>
      </c>
      <c r="U156" s="131">
        <v>29</v>
      </c>
      <c r="V156" s="25"/>
    </row>
    <row r="157" spans="2:22" ht="50.25" customHeight="1" x14ac:dyDescent="0.2">
      <c r="B157" s="17"/>
      <c r="C157" s="43" t="s">
        <v>145</v>
      </c>
      <c r="D157" s="43"/>
      <c r="E157" s="44" t="s">
        <v>198</v>
      </c>
      <c r="F157" s="128" t="s">
        <v>340</v>
      </c>
      <c r="G157" s="46" t="s">
        <v>88</v>
      </c>
      <c r="H157" s="47">
        <v>480</v>
      </c>
      <c r="I157" s="131">
        <f t="shared" si="13"/>
        <v>4.75</v>
      </c>
      <c r="J157" s="131">
        <f t="shared" si="11"/>
        <v>2280</v>
      </c>
      <c r="K157" s="25"/>
      <c r="M157" s="56"/>
      <c r="N157" s="4"/>
      <c r="O157" s="131" t="s">
        <v>368</v>
      </c>
      <c r="P157" s="131" t="s">
        <v>369</v>
      </c>
      <c r="Q157" s="117" t="s">
        <v>170</v>
      </c>
      <c r="R157" s="81"/>
      <c r="S157" s="131">
        <v>5.35</v>
      </c>
      <c r="T157" s="131">
        <v>4.0999999999999996</v>
      </c>
      <c r="U157" s="131">
        <v>4.8</v>
      </c>
      <c r="V157" s="25"/>
    </row>
    <row r="158" spans="2:22" ht="50.25" customHeight="1" x14ac:dyDescent="0.2">
      <c r="B158" s="17"/>
      <c r="C158" s="43" t="s">
        <v>146</v>
      </c>
      <c r="D158" s="43"/>
      <c r="E158" s="44" t="s">
        <v>198</v>
      </c>
      <c r="F158" s="128" t="s">
        <v>341</v>
      </c>
      <c r="G158" s="46" t="s">
        <v>88</v>
      </c>
      <c r="H158" s="47">
        <v>30</v>
      </c>
      <c r="I158" s="131">
        <f t="shared" si="13"/>
        <v>63.526666666666664</v>
      </c>
      <c r="J158" s="131">
        <f t="shared" si="11"/>
        <v>1905.8</v>
      </c>
      <c r="K158" s="25"/>
      <c r="M158" s="56"/>
      <c r="N158" s="4"/>
      <c r="O158" s="131" t="s">
        <v>368</v>
      </c>
      <c r="P158" s="131" t="s">
        <v>369</v>
      </c>
      <c r="Q158" s="117" t="s">
        <v>170</v>
      </c>
      <c r="R158" s="81"/>
      <c r="S158" s="131">
        <v>59.58</v>
      </c>
      <c r="T158" s="131">
        <v>67</v>
      </c>
      <c r="U158" s="131">
        <v>64</v>
      </c>
      <c r="V158" s="25"/>
    </row>
    <row r="159" spans="2:22" ht="50.25" customHeight="1" x14ac:dyDescent="0.2">
      <c r="B159" s="17"/>
      <c r="C159" s="43" t="s">
        <v>147</v>
      </c>
      <c r="D159" s="43"/>
      <c r="E159" s="44" t="s">
        <v>198</v>
      </c>
      <c r="F159" s="128" t="s">
        <v>342</v>
      </c>
      <c r="G159" s="46" t="s">
        <v>88</v>
      </c>
      <c r="H159" s="47">
        <v>280</v>
      </c>
      <c r="I159" s="131">
        <f t="shared" si="13"/>
        <v>7.2890000000000006</v>
      </c>
      <c r="J159" s="131">
        <f t="shared" si="11"/>
        <v>2040.92</v>
      </c>
      <c r="K159" s="25"/>
      <c r="M159" s="56"/>
      <c r="N159" s="4"/>
      <c r="O159" s="131" t="s">
        <v>368</v>
      </c>
      <c r="P159" s="131" t="s">
        <v>369</v>
      </c>
      <c r="Q159" s="117" t="s">
        <v>170</v>
      </c>
      <c r="R159" s="81"/>
      <c r="S159" s="131">
        <v>7.9</v>
      </c>
      <c r="T159" s="131">
        <v>6.5</v>
      </c>
      <c r="U159" s="131">
        <v>7.4669999999999996</v>
      </c>
      <c r="V159" s="25"/>
    </row>
    <row r="160" spans="2:22" ht="50.25" customHeight="1" x14ac:dyDescent="0.2">
      <c r="B160" s="17"/>
      <c r="C160" s="43" t="s">
        <v>148</v>
      </c>
      <c r="D160" s="43"/>
      <c r="E160" s="44" t="s">
        <v>198</v>
      </c>
      <c r="F160" s="128" t="s">
        <v>343</v>
      </c>
      <c r="G160" s="46" t="s">
        <v>88</v>
      </c>
      <c r="H160" s="47">
        <v>240</v>
      </c>
      <c r="I160" s="131">
        <f>AVERAGE(S160:U160)</f>
        <v>2.6333333333333333</v>
      </c>
      <c r="J160" s="131">
        <f t="shared" si="11"/>
        <v>632</v>
      </c>
      <c r="K160" s="25"/>
      <c r="M160" s="56"/>
      <c r="N160" s="4"/>
      <c r="O160" s="131" t="s">
        <v>368</v>
      </c>
      <c r="P160" s="131" t="s">
        <v>369</v>
      </c>
      <c r="Q160" s="117" t="s">
        <v>170</v>
      </c>
      <c r="R160" s="81"/>
      <c r="S160" s="131">
        <v>2.9</v>
      </c>
      <c r="T160" s="131">
        <v>2.35</v>
      </c>
      <c r="U160" s="131">
        <v>2.65</v>
      </c>
      <c r="V160" s="25"/>
    </row>
    <row r="161" spans="2:22" ht="50.25" customHeight="1" x14ac:dyDescent="0.2">
      <c r="B161" s="17"/>
      <c r="C161" s="43" t="s">
        <v>149</v>
      </c>
      <c r="D161" s="43"/>
      <c r="E161" s="44" t="s">
        <v>198</v>
      </c>
      <c r="F161" s="128" t="s">
        <v>344</v>
      </c>
      <c r="G161" s="46" t="s">
        <v>58</v>
      </c>
      <c r="H161" s="47">
        <v>6</v>
      </c>
      <c r="I161" s="131">
        <f t="shared" si="13"/>
        <v>58.856666666666662</v>
      </c>
      <c r="J161" s="131">
        <f t="shared" si="11"/>
        <v>353.14</v>
      </c>
      <c r="K161" s="25"/>
      <c r="M161" s="56"/>
      <c r="N161" s="4"/>
      <c r="O161" s="131" t="s">
        <v>368</v>
      </c>
      <c r="P161" s="131" t="s">
        <v>369</v>
      </c>
      <c r="Q161" s="117" t="s">
        <v>170</v>
      </c>
      <c r="R161" s="81"/>
      <c r="S161" s="131">
        <f>29.02+17.55</f>
        <v>46.57</v>
      </c>
      <c r="T161" s="131">
        <v>65</v>
      </c>
      <c r="U161" s="131">
        <f>18+47</f>
        <v>65</v>
      </c>
      <c r="V161" s="25"/>
    </row>
    <row r="162" spans="2:22" ht="50.25" customHeight="1" x14ac:dyDescent="0.2">
      <c r="B162" s="17"/>
      <c r="C162" s="43" t="s">
        <v>150</v>
      </c>
      <c r="D162" s="43"/>
      <c r="E162" s="44" t="s">
        <v>198</v>
      </c>
      <c r="F162" s="128" t="s">
        <v>345</v>
      </c>
      <c r="G162" s="46" t="s">
        <v>58</v>
      </c>
      <c r="H162" s="47">
        <v>34</v>
      </c>
      <c r="I162" s="131">
        <f t="shared" si="13"/>
        <v>48.416666666666664</v>
      </c>
      <c r="J162" s="131">
        <f t="shared" si="11"/>
        <v>1646.1666666666665</v>
      </c>
      <c r="K162" s="25"/>
      <c r="M162" s="56"/>
      <c r="N162" s="4"/>
      <c r="O162" s="131" t="s">
        <v>368</v>
      </c>
      <c r="P162" s="131" t="s">
        <v>369</v>
      </c>
      <c r="Q162" s="117" t="s">
        <v>170</v>
      </c>
      <c r="R162" s="81"/>
      <c r="S162" s="131">
        <v>53.5</v>
      </c>
      <c r="T162" s="131">
        <v>33.75</v>
      </c>
      <c r="U162" s="131">
        <v>58</v>
      </c>
      <c r="V162" s="25"/>
    </row>
    <row r="163" spans="2:22" ht="50.25" customHeight="1" x14ac:dyDescent="0.2">
      <c r="B163" s="17"/>
      <c r="C163" s="43" t="s">
        <v>151</v>
      </c>
      <c r="D163" s="43"/>
      <c r="E163" s="44" t="s">
        <v>198</v>
      </c>
      <c r="F163" s="128" t="s">
        <v>346</v>
      </c>
      <c r="G163" s="46" t="s">
        <v>58</v>
      </c>
      <c r="H163" s="47">
        <v>26</v>
      </c>
      <c r="I163" s="131">
        <f t="shared" si="13"/>
        <v>11.056666666666667</v>
      </c>
      <c r="J163" s="131">
        <f t="shared" si="11"/>
        <v>287.47333333333336</v>
      </c>
      <c r="K163" s="25"/>
      <c r="M163" s="56"/>
      <c r="N163" s="4"/>
      <c r="O163" s="131" t="s">
        <v>368</v>
      </c>
      <c r="P163" s="131" t="s">
        <v>369</v>
      </c>
      <c r="Q163" s="117" t="s">
        <v>170</v>
      </c>
      <c r="R163" s="81"/>
      <c r="S163" s="131">
        <v>10.97</v>
      </c>
      <c r="T163" s="131">
        <v>4.5</v>
      </c>
      <c r="U163" s="131">
        <v>17.7</v>
      </c>
      <c r="V163" s="25"/>
    </row>
    <row r="164" spans="2:22" ht="50.25" customHeight="1" x14ac:dyDescent="0.2">
      <c r="B164" s="17"/>
      <c r="C164" s="43" t="s">
        <v>152</v>
      </c>
      <c r="D164" s="43"/>
      <c r="E164" s="44" t="s">
        <v>198</v>
      </c>
      <c r="F164" s="128" t="s">
        <v>347</v>
      </c>
      <c r="G164" s="46" t="s">
        <v>58</v>
      </c>
      <c r="H164" s="47">
        <v>6</v>
      </c>
      <c r="I164" s="131">
        <f>AVERAGE(S164:U164)</f>
        <v>3.3250000000000002</v>
      </c>
      <c r="J164" s="131">
        <f t="shared" si="11"/>
        <v>19.950000000000003</v>
      </c>
      <c r="K164" s="25"/>
      <c r="M164" s="56"/>
      <c r="N164" s="4"/>
      <c r="O164" s="131" t="s">
        <v>368</v>
      </c>
      <c r="P164" s="131" t="s">
        <v>369</v>
      </c>
      <c r="Q164" s="117" t="s">
        <v>170</v>
      </c>
      <c r="R164" s="81"/>
      <c r="S164" s="131">
        <v>2.15</v>
      </c>
      <c r="T164" s="131">
        <v>4.5</v>
      </c>
      <c r="U164" s="131"/>
      <c r="V164" s="25"/>
    </row>
    <row r="165" spans="2:22" ht="50.25" customHeight="1" x14ac:dyDescent="0.2">
      <c r="B165" s="17"/>
      <c r="C165" s="43" t="s">
        <v>153</v>
      </c>
      <c r="D165" s="43"/>
      <c r="E165" s="44" t="s">
        <v>198</v>
      </c>
      <c r="F165" s="128" t="s">
        <v>348</v>
      </c>
      <c r="G165" s="46" t="s">
        <v>58</v>
      </c>
      <c r="H165" s="47">
        <v>8</v>
      </c>
      <c r="I165" s="131">
        <f t="shared" si="13"/>
        <v>28.503333333333334</v>
      </c>
      <c r="J165" s="131">
        <f t="shared" ref="J165:J181" si="14">I165*H165</f>
        <v>228.02666666666667</v>
      </c>
      <c r="K165" s="25"/>
      <c r="M165" s="56"/>
      <c r="N165" s="4"/>
      <c r="O165" s="131" t="s">
        <v>368</v>
      </c>
      <c r="P165" s="131" t="s">
        <v>369</v>
      </c>
      <c r="Q165" s="117" t="s">
        <v>170</v>
      </c>
      <c r="R165" s="81"/>
      <c r="S165" s="131">
        <v>13.45</v>
      </c>
      <c r="T165" s="131">
        <v>32.5</v>
      </c>
      <c r="U165" s="131">
        <v>39.56</v>
      </c>
      <c r="V165" s="25"/>
    </row>
    <row r="166" spans="2:22" ht="50.25" customHeight="1" x14ac:dyDescent="0.2">
      <c r="B166" s="17"/>
      <c r="C166" s="43" t="s">
        <v>154</v>
      </c>
      <c r="D166" s="43"/>
      <c r="E166" s="44" t="s">
        <v>198</v>
      </c>
      <c r="F166" s="128" t="s">
        <v>349</v>
      </c>
      <c r="G166" s="46" t="s">
        <v>58</v>
      </c>
      <c r="H166" s="47">
        <v>12</v>
      </c>
      <c r="I166" s="131">
        <f>AVERAGE(S166:U166)</f>
        <v>4.7966666666666669</v>
      </c>
      <c r="J166" s="131">
        <f t="shared" si="14"/>
        <v>57.56</v>
      </c>
      <c r="K166" s="25"/>
      <c r="M166" s="56"/>
      <c r="N166" s="4"/>
      <c r="O166" s="131" t="s">
        <v>368</v>
      </c>
      <c r="P166" s="131" t="s">
        <v>369</v>
      </c>
      <c r="Q166" s="117" t="s">
        <v>170</v>
      </c>
      <c r="R166" s="81"/>
      <c r="S166" s="131">
        <v>2.39</v>
      </c>
      <c r="T166" s="131">
        <v>5.7</v>
      </c>
      <c r="U166" s="131">
        <v>6.3</v>
      </c>
      <c r="V166" s="25"/>
    </row>
    <row r="167" spans="2:22" ht="50.25" customHeight="1" x14ac:dyDescent="0.2">
      <c r="B167" s="17"/>
      <c r="C167" s="43" t="s">
        <v>155</v>
      </c>
      <c r="D167" s="43"/>
      <c r="E167" s="44" t="s">
        <v>198</v>
      </c>
      <c r="F167" s="128" t="s">
        <v>350</v>
      </c>
      <c r="G167" s="46" t="s">
        <v>58</v>
      </c>
      <c r="H167" s="47">
        <v>6</v>
      </c>
      <c r="I167" s="131">
        <f t="shared" si="13"/>
        <v>63.68</v>
      </c>
      <c r="J167" s="131">
        <f t="shared" si="14"/>
        <v>382.08</v>
      </c>
      <c r="K167" s="25"/>
      <c r="M167" s="56"/>
      <c r="N167" s="4"/>
      <c r="O167" s="131" t="s">
        <v>368</v>
      </c>
      <c r="P167" s="131" t="s">
        <v>369</v>
      </c>
      <c r="Q167" s="117" t="s">
        <v>170</v>
      </c>
      <c r="R167" s="81"/>
      <c r="S167" s="131">
        <v>32.36</v>
      </c>
      <c r="T167" s="131">
        <v>95</v>
      </c>
      <c r="U167" s="131"/>
      <c r="V167" s="25"/>
    </row>
    <row r="168" spans="2:22" ht="50.25" customHeight="1" x14ac:dyDescent="0.2">
      <c r="B168" s="17"/>
      <c r="C168" s="43" t="s">
        <v>156</v>
      </c>
      <c r="D168" s="43"/>
      <c r="E168" s="44" t="s">
        <v>198</v>
      </c>
      <c r="F168" s="128" t="s">
        <v>351</v>
      </c>
      <c r="G168" s="46" t="s">
        <v>88</v>
      </c>
      <c r="H168" s="47">
        <v>26</v>
      </c>
      <c r="I168" s="131">
        <f>AVERAGE(S168:U168)</f>
        <v>4.0200000000000005</v>
      </c>
      <c r="J168" s="131">
        <f t="shared" si="14"/>
        <v>104.52000000000001</v>
      </c>
      <c r="K168" s="25"/>
      <c r="M168" s="56"/>
      <c r="N168" s="4"/>
      <c r="O168" s="131" t="s">
        <v>368</v>
      </c>
      <c r="P168" s="131" t="s">
        <v>369</v>
      </c>
      <c r="Q168" s="117" t="s">
        <v>170</v>
      </c>
      <c r="R168" s="81"/>
      <c r="S168" s="131">
        <v>4.76</v>
      </c>
      <c r="T168" s="131">
        <v>3.4</v>
      </c>
      <c r="U168" s="131">
        <v>3.9</v>
      </c>
      <c r="V168" s="25"/>
    </row>
    <row r="169" spans="2:22" ht="50.25" customHeight="1" x14ac:dyDescent="0.2">
      <c r="B169" s="17"/>
      <c r="C169" s="43" t="s">
        <v>157</v>
      </c>
      <c r="D169" s="43"/>
      <c r="E169" s="44" t="s">
        <v>198</v>
      </c>
      <c r="F169" s="128" t="s">
        <v>352</v>
      </c>
      <c r="G169" s="46" t="s">
        <v>88</v>
      </c>
      <c r="H169" s="47">
        <v>438</v>
      </c>
      <c r="I169" s="131">
        <f t="shared" si="13"/>
        <v>2.74</v>
      </c>
      <c r="J169" s="131">
        <f t="shared" si="14"/>
        <v>1200.1200000000001</v>
      </c>
      <c r="K169" s="25"/>
      <c r="M169" s="56"/>
      <c r="N169" s="4"/>
      <c r="O169" s="131" t="s">
        <v>368</v>
      </c>
      <c r="P169" s="131" t="s">
        <v>369</v>
      </c>
      <c r="Q169" s="117" t="s">
        <v>170</v>
      </c>
      <c r="R169" s="81"/>
      <c r="S169" s="131">
        <v>2.63</v>
      </c>
      <c r="T169" s="131">
        <v>2.85</v>
      </c>
      <c r="U169" s="131"/>
      <c r="V169" s="25"/>
    </row>
    <row r="170" spans="2:22" ht="50.25" customHeight="1" x14ac:dyDescent="0.2">
      <c r="B170" s="17"/>
      <c r="C170" s="43" t="s">
        <v>158</v>
      </c>
      <c r="D170" s="43"/>
      <c r="E170" s="44" t="s">
        <v>198</v>
      </c>
      <c r="F170" s="128" t="s">
        <v>353</v>
      </c>
      <c r="G170" s="46" t="s">
        <v>88</v>
      </c>
      <c r="H170" s="47">
        <v>28</v>
      </c>
      <c r="I170" s="131">
        <f t="shared" si="13"/>
        <v>75.62</v>
      </c>
      <c r="J170" s="131">
        <f t="shared" si="14"/>
        <v>2117.36</v>
      </c>
      <c r="K170" s="25"/>
      <c r="M170" s="56"/>
      <c r="N170" s="4"/>
      <c r="O170" s="131" t="s">
        <v>368</v>
      </c>
      <c r="P170" s="131" t="s">
        <v>369</v>
      </c>
      <c r="Q170" s="117" t="s">
        <v>170</v>
      </c>
      <c r="R170" s="81"/>
      <c r="S170" s="131">
        <v>51.66</v>
      </c>
      <c r="T170" s="131">
        <v>85.2</v>
      </c>
      <c r="U170" s="131">
        <v>90</v>
      </c>
      <c r="V170" s="25"/>
    </row>
    <row r="171" spans="2:22" ht="50.25" customHeight="1" x14ac:dyDescent="0.2">
      <c r="B171" s="17"/>
      <c r="C171" s="43" t="s">
        <v>159</v>
      </c>
      <c r="D171" s="43"/>
      <c r="E171" s="44" t="s">
        <v>198</v>
      </c>
      <c r="F171" s="128" t="s">
        <v>354</v>
      </c>
      <c r="G171" s="46" t="s">
        <v>88</v>
      </c>
      <c r="H171" s="47">
        <v>54</v>
      </c>
      <c r="I171" s="131">
        <f t="shared" si="13"/>
        <v>29.183333333333334</v>
      </c>
      <c r="J171" s="131">
        <f t="shared" si="14"/>
        <v>1575.9</v>
      </c>
      <c r="K171" s="25"/>
      <c r="M171" s="56"/>
      <c r="N171" s="4"/>
      <c r="O171" s="131" t="s">
        <v>368</v>
      </c>
      <c r="P171" s="131" t="s">
        <v>369</v>
      </c>
      <c r="Q171" s="117" t="s">
        <v>170</v>
      </c>
      <c r="R171" s="81"/>
      <c r="S171" s="131">
        <v>14.05</v>
      </c>
      <c r="T171" s="131">
        <v>35.5</v>
      </c>
      <c r="U171" s="131">
        <v>38</v>
      </c>
      <c r="V171" s="25"/>
    </row>
    <row r="172" spans="2:22" ht="50.25" customHeight="1" x14ac:dyDescent="0.2">
      <c r="B172" s="17"/>
      <c r="C172" s="43" t="s">
        <v>160</v>
      </c>
      <c r="D172" s="43"/>
      <c r="E172" s="44" t="s">
        <v>198</v>
      </c>
      <c r="F172" s="128" t="s">
        <v>355</v>
      </c>
      <c r="G172" s="46" t="s">
        <v>58</v>
      </c>
      <c r="H172" s="47">
        <v>20</v>
      </c>
      <c r="I172" s="131">
        <f t="shared" si="13"/>
        <v>20.366666666666667</v>
      </c>
      <c r="J172" s="131">
        <f t="shared" si="14"/>
        <v>407.33333333333337</v>
      </c>
      <c r="K172" s="25"/>
      <c r="M172" s="56"/>
      <c r="N172" s="4"/>
      <c r="O172" s="131" t="s">
        <v>368</v>
      </c>
      <c r="P172" s="131" t="s">
        <v>369</v>
      </c>
      <c r="Q172" s="117" t="s">
        <v>170</v>
      </c>
      <c r="R172" s="81"/>
      <c r="S172" s="131">
        <v>22.7</v>
      </c>
      <c r="T172" s="131">
        <v>18.5</v>
      </c>
      <c r="U172" s="131">
        <v>19.899999999999999</v>
      </c>
      <c r="V172" s="25"/>
    </row>
    <row r="173" spans="2:22" ht="50.25" customHeight="1" x14ac:dyDescent="0.2">
      <c r="B173" s="17"/>
      <c r="C173" s="43" t="s">
        <v>161</v>
      </c>
      <c r="D173" s="43"/>
      <c r="E173" s="44" t="s">
        <v>198</v>
      </c>
      <c r="F173" s="128" t="s">
        <v>356</v>
      </c>
      <c r="G173" s="46" t="s">
        <v>58</v>
      </c>
      <c r="H173" s="47">
        <v>20</v>
      </c>
      <c r="I173" s="131">
        <f t="shared" si="13"/>
        <v>4.8500000000000005</v>
      </c>
      <c r="J173" s="131">
        <f t="shared" si="14"/>
        <v>97.000000000000014</v>
      </c>
      <c r="K173" s="25"/>
      <c r="M173" s="56"/>
      <c r="N173" s="4"/>
      <c r="O173" s="131" t="s">
        <v>368</v>
      </c>
      <c r="P173" s="131" t="s">
        <v>369</v>
      </c>
      <c r="Q173" s="117" t="s">
        <v>170</v>
      </c>
      <c r="R173" s="81"/>
      <c r="S173" s="131">
        <v>5.2</v>
      </c>
      <c r="T173" s="131">
        <v>4.7</v>
      </c>
      <c r="U173" s="131">
        <v>4.6500000000000004</v>
      </c>
      <c r="V173" s="25"/>
    </row>
    <row r="174" spans="2:22" ht="50.25" customHeight="1" x14ac:dyDescent="0.2">
      <c r="B174" s="17"/>
      <c r="C174" s="43" t="s">
        <v>162</v>
      </c>
      <c r="D174" s="43"/>
      <c r="E174" s="44" t="s">
        <v>198</v>
      </c>
      <c r="F174" s="128" t="s">
        <v>357</v>
      </c>
      <c r="G174" s="46" t="s">
        <v>58</v>
      </c>
      <c r="H174" s="47">
        <v>6</v>
      </c>
      <c r="I174" s="131">
        <f t="shared" si="13"/>
        <v>39.1</v>
      </c>
      <c r="J174" s="131">
        <f t="shared" si="14"/>
        <v>234.60000000000002</v>
      </c>
      <c r="K174" s="25"/>
      <c r="M174" s="56"/>
      <c r="N174" s="4"/>
      <c r="O174" s="131" t="s">
        <v>368</v>
      </c>
      <c r="P174" s="131" t="s">
        <v>369</v>
      </c>
      <c r="Q174" s="117" t="s">
        <v>170</v>
      </c>
      <c r="R174" s="81"/>
      <c r="S174" s="131">
        <v>20.2</v>
      </c>
      <c r="T174" s="131">
        <v>58</v>
      </c>
      <c r="U174" s="131"/>
      <c r="V174" s="25"/>
    </row>
    <row r="175" spans="2:22" ht="50.25" customHeight="1" x14ac:dyDescent="0.2">
      <c r="B175" s="17"/>
      <c r="C175" s="43" t="s">
        <v>193</v>
      </c>
      <c r="D175" s="43"/>
      <c r="E175" s="44" t="s">
        <v>198</v>
      </c>
      <c r="F175" s="128" t="s">
        <v>358</v>
      </c>
      <c r="G175" s="46" t="s">
        <v>58</v>
      </c>
      <c r="H175" s="47">
        <v>8</v>
      </c>
      <c r="I175" s="131">
        <f t="shared" si="13"/>
        <v>8.3000000000000007</v>
      </c>
      <c r="J175" s="131">
        <f t="shared" si="14"/>
        <v>66.400000000000006</v>
      </c>
      <c r="K175" s="25"/>
      <c r="M175" s="56"/>
      <c r="N175" s="4"/>
      <c r="O175" s="131" t="s">
        <v>368</v>
      </c>
      <c r="P175" s="131" t="s">
        <v>369</v>
      </c>
      <c r="Q175" s="117" t="s">
        <v>170</v>
      </c>
      <c r="R175" s="81"/>
      <c r="S175" s="131">
        <v>10.8</v>
      </c>
      <c r="T175" s="131">
        <v>5.8</v>
      </c>
      <c r="U175" s="131"/>
      <c r="V175" s="25"/>
    </row>
    <row r="176" spans="2:22" ht="50.25" customHeight="1" x14ac:dyDescent="0.2">
      <c r="B176" s="17"/>
      <c r="C176" s="43" t="s">
        <v>194</v>
      </c>
      <c r="D176" s="43"/>
      <c r="E176" s="44" t="s">
        <v>198</v>
      </c>
      <c r="F176" s="128" t="s">
        <v>359</v>
      </c>
      <c r="G176" s="46" t="s">
        <v>58</v>
      </c>
      <c r="H176" s="47">
        <v>6</v>
      </c>
      <c r="I176" s="131">
        <f t="shared" si="13"/>
        <v>1.2833333333333334</v>
      </c>
      <c r="J176" s="131">
        <f t="shared" si="14"/>
        <v>7.7000000000000011</v>
      </c>
      <c r="K176" s="25"/>
      <c r="M176" s="56"/>
      <c r="N176" s="4"/>
      <c r="O176" s="131" t="s">
        <v>368</v>
      </c>
      <c r="P176" s="131" t="s">
        <v>369</v>
      </c>
      <c r="Q176" s="117" t="s">
        <v>170</v>
      </c>
      <c r="R176" s="81"/>
      <c r="S176" s="131">
        <v>1.7</v>
      </c>
      <c r="T176" s="131">
        <v>1.05</v>
      </c>
      <c r="U176" s="131">
        <v>1.1000000000000001</v>
      </c>
      <c r="V176" s="25"/>
    </row>
    <row r="177" spans="2:22" ht="50.25" customHeight="1" x14ac:dyDescent="0.2">
      <c r="B177" s="17"/>
      <c r="C177" s="43" t="s">
        <v>195</v>
      </c>
      <c r="D177" s="43"/>
      <c r="E177" s="44" t="s">
        <v>198</v>
      </c>
      <c r="F177" s="128" t="s">
        <v>360</v>
      </c>
      <c r="G177" s="46" t="s">
        <v>58</v>
      </c>
      <c r="H177" s="47">
        <v>8</v>
      </c>
      <c r="I177" s="131">
        <f t="shared" si="13"/>
        <v>0.27</v>
      </c>
      <c r="J177" s="131">
        <f t="shared" si="14"/>
        <v>2.16</v>
      </c>
      <c r="K177" s="25"/>
      <c r="M177" s="56"/>
      <c r="N177" s="4"/>
      <c r="O177" s="131" t="s">
        <v>368</v>
      </c>
      <c r="P177" s="131" t="s">
        <v>369</v>
      </c>
      <c r="Q177" s="117" t="s">
        <v>170</v>
      </c>
      <c r="R177" s="81"/>
      <c r="S177" s="131">
        <v>0.42</v>
      </c>
      <c r="T177" s="131">
        <v>0.21</v>
      </c>
      <c r="U177" s="131">
        <f>0.72/4</f>
        <v>0.18</v>
      </c>
      <c r="V177" s="25"/>
    </row>
    <row r="178" spans="2:22" ht="50.25" customHeight="1" x14ac:dyDescent="0.2">
      <c r="B178" s="17"/>
      <c r="C178" s="43" t="s">
        <v>196</v>
      </c>
      <c r="D178" s="43"/>
      <c r="E178" s="44" t="s">
        <v>198</v>
      </c>
      <c r="F178" s="128" t="s">
        <v>361</v>
      </c>
      <c r="G178" s="46" t="s">
        <v>58</v>
      </c>
      <c r="H178" s="47">
        <v>32</v>
      </c>
      <c r="I178" s="131">
        <f t="shared" si="13"/>
        <v>0.35308333333333336</v>
      </c>
      <c r="J178" s="131">
        <f t="shared" si="14"/>
        <v>11.298666666666668</v>
      </c>
      <c r="K178" s="25"/>
      <c r="M178" s="56"/>
      <c r="N178" s="4"/>
      <c r="O178" s="131" t="s">
        <v>368</v>
      </c>
      <c r="P178" s="131" t="s">
        <v>369</v>
      </c>
      <c r="Q178" s="117" t="s">
        <v>170</v>
      </c>
      <c r="R178" s="81"/>
      <c r="S178" s="131">
        <v>0.443</v>
      </c>
      <c r="T178" s="131">
        <v>0.36</v>
      </c>
      <c r="U178" s="131">
        <f>4.1/16</f>
        <v>0.25624999999999998</v>
      </c>
      <c r="V178" s="25"/>
    </row>
    <row r="179" spans="2:22" ht="50.25" customHeight="1" x14ac:dyDescent="0.2">
      <c r="B179" s="17"/>
      <c r="C179" s="43" t="s">
        <v>401</v>
      </c>
      <c r="D179" s="43"/>
      <c r="E179" s="44" t="s">
        <v>198</v>
      </c>
      <c r="F179" s="128" t="s">
        <v>362</v>
      </c>
      <c r="G179" s="46" t="s">
        <v>58</v>
      </c>
      <c r="H179" s="47">
        <v>112</v>
      </c>
      <c r="I179" s="131">
        <f t="shared" si="13"/>
        <v>8.1309523809523818E-2</v>
      </c>
      <c r="J179" s="131">
        <f t="shared" si="14"/>
        <v>9.1066666666666674</v>
      </c>
      <c r="K179" s="25"/>
      <c r="M179" s="56"/>
      <c r="N179" s="4"/>
      <c r="O179" s="131" t="s">
        <v>368</v>
      </c>
      <c r="P179" s="131" t="s">
        <v>369</v>
      </c>
      <c r="Q179" s="117" t="s">
        <v>170</v>
      </c>
      <c r="R179" s="81"/>
      <c r="S179" s="131">
        <v>0.1</v>
      </c>
      <c r="T179" s="131">
        <v>0.08</v>
      </c>
      <c r="U179" s="131">
        <f>3.58/56</f>
        <v>6.3928571428571432E-2</v>
      </c>
      <c r="V179" s="25"/>
    </row>
    <row r="180" spans="2:22" ht="50.25" customHeight="1" x14ac:dyDescent="0.2">
      <c r="B180" s="17"/>
      <c r="C180" s="43" t="s">
        <v>402</v>
      </c>
      <c r="D180" s="43"/>
      <c r="E180" s="44" t="s">
        <v>198</v>
      </c>
      <c r="F180" s="128" t="s">
        <v>363</v>
      </c>
      <c r="G180" s="46" t="s">
        <v>58</v>
      </c>
      <c r="H180" s="47">
        <v>16</v>
      </c>
      <c r="I180" s="131">
        <f t="shared" si="13"/>
        <v>0.6333333333333333</v>
      </c>
      <c r="J180" s="131">
        <f t="shared" si="14"/>
        <v>10.133333333333333</v>
      </c>
      <c r="K180" s="25"/>
      <c r="M180" s="56"/>
      <c r="N180" s="4"/>
      <c r="O180" s="131" t="s">
        <v>368</v>
      </c>
      <c r="P180" s="131" t="s">
        <v>369</v>
      </c>
      <c r="Q180" s="117" t="s">
        <v>170</v>
      </c>
      <c r="R180" s="81"/>
      <c r="S180" s="131">
        <v>1.1000000000000001</v>
      </c>
      <c r="T180" s="131">
        <v>0.45</v>
      </c>
      <c r="U180" s="131">
        <f>2.8/8</f>
        <v>0.35</v>
      </c>
      <c r="V180" s="25"/>
    </row>
    <row r="181" spans="2:22" ht="50.25" customHeight="1" x14ac:dyDescent="0.2">
      <c r="B181" s="17"/>
      <c r="C181" s="43" t="s">
        <v>403</v>
      </c>
      <c r="D181" s="43"/>
      <c r="E181" s="44" t="s">
        <v>198</v>
      </c>
      <c r="F181" s="128" t="s">
        <v>364</v>
      </c>
      <c r="G181" s="46" t="s">
        <v>58</v>
      </c>
      <c r="H181" s="47">
        <v>32</v>
      </c>
      <c r="I181" s="131">
        <f t="shared" si="13"/>
        <v>0.120625</v>
      </c>
      <c r="J181" s="131">
        <f t="shared" si="14"/>
        <v>3.86</v>
      </c>
      <c r="K181" s="25"/>
      <c r="M181" s="56"/>
      <c r="N181" s="4"/>
      <c r="O181" s="131" t="s">
        <v>368</v>
      </c>
      <c r="P181" s="131" t="s">
        <v>369</v>
      </c>
      <c r="Q181" s="117" t="s">
        <v>170</v>
      </c>
      <c r="R181" s="81"/>
      <c r="S181" s="131">
        <v>0.16</v>
      </c>
      <c r="T181" s="131">
        <v>0.11</v>
      </c>
      <c r="U181" s="131">
        <f>1.47/16</f>
        <v>9.1874999999999998E-2</v>
      </c>
      <c r="V181" s="25"/>
    </row>
    <row r="182" spans="2:22" x14ac:dyDescent="0.2">
      <c r="B182" s="17"/>
      <c r="C182" s="2"/>
      <c r="D182" s="2"/>
      <c r="E182" s="3"/>
      <c r="F182" s="4"/>
      <c r="G182" s="63"/>
      <c r="H182" s="109"/>
      <c r="I182" s="98" t="s">
        <v>41</v>
      </c>
      <c r="J182" s="55">
        <f>SUM(J99:J181)</f>
        <v>179339.87644444441</v>
      </c>
      <c r="K182" s="25"/>
      <c r="M182" s="56"/>
      <c r="N182" s="4"/>
      <c r="O182" s="4"/>
      <c r="P182" s="4"/>
      <c r="Q182" s="4"/>
      <c r="R182" s="4"/>
      <c r="S182" s="4"/>
      <c r="T182" s="4"/>
      <c r="U182" s="4"/>
      <c r="V182" s="25"/>
    </row>
    <row r="183" spans="2:22" x14ac:dyDescent="0.2">
      <c r="B183" s="17"/>
      <c r="C183" s="2"/>
      <c r="D183" s="2"/>
      <c r="E183" s="3"/>
      <c r="F183" s="4"/>
      <c r="G183" s="63"/>
      <c r="H183" s="109"/>
      <c r="I183" s="64"/>
      <c r="J183" s="64"/>
      <c r="K183" s="25"/>
      <c r="M183" s="56"/>
      <c r="N183" s="4"/>
      <c r="O183" s="4"/>
      <c r="P183" s="4"/>
      <c r="Q183" s="4"/>
      <c r="R183" s="4"/>
      <c r="S183" s="4"/>
      <c r="T183" s="4"/>
      <c r="U183" s="4"/>
      <c r="V183" s="25"/>
    </row>
    <row r="184" spans="2:22" x14ac:dyDescent="0.2">
      <c r="B184" s="17"/>
      <c r="C184" s="2"/>
      <c r="D184" s="2"/>
      <c r="E184" s="3"/>
      <c r="F184" s="4"/>
      <c r="G184" s="63"/>
      <c r="H184" s="109"/>
      <c r="I184" s="64"/>
      <c r="J184" s="64"/>
      <c r="K184" s="25"/>
      <c r="M184" s="56"/>
      <c r="N184" s="4"/>
      <c r="O184" s="4"/>
      <c r="P184" s="4"/>
      <c r="Q184" s="4"/>
      <c r="R184" s="4"/>
      <c r="S184" s="4"/>
      <c r="T184" s="4"/>
      <c r="U184" s="4"/>
      <c r="V184" s="25"/>
    </row>
    <row r="185" spans="2:22" x14ac:dyDescent="0.2">
      <c r="B185" s="17"/>
      <c r="C185" s="2"/>
      <c r="D185" s="2"/>
      <c r="E185" s="3"/>
      <c r="F185" s="4"/>
      <c r="G185" s="63"/>
      <c r="H185" s="109"/>
      <c r="I185" s="64"/>
      <c r="J185" s="64"/>
      <c r="K185" s="25"/>
      <c r="M185" s="56"/>
      <c r="N185" s="4"/>
      <c r="O185" s="4"/>
      <c r="P185" s="4"/>
      <c r="Q185" s="4"/>
      <c r="R185" s="4"/>
      <c r="S185" s="4"/>
      <c r="T185" s="4"/>
      <c r="U185" s="4"/>
      <c r="V185" s="25"/>
    </row>
    <row r="186" spans="2:22" ht="18" customHeight="1" x14ac:dyDescent="0.2">
      <c r="B186" s="17"/>
      <c r="C186" s="2"/>
      <c r="D186" s="2"/>
      <c r="E186" s="3"/>
      <c r="F186" s="4"/>
      <c r="G186" s="63"/>
      <c r="H186" s="161" t="s">
        <v>224</v>
      </c>
      <c r="I186" s="161"/>
      <c r="J186" s="84">
        <f>SUM(J25+J32+J42+J47+J52+J57+J61+J73+J91+J182)</f>
        <v>4488517.5200444441</v>
      </c>
      <c r="K186" s="25"/>
      <c r="M186" s="56"/>
      <c r="N186" s="4"/>
      <c r="O186" s="4"/>
      <c r="P186" s="4"/>
      <c r="Q186" s="4"/>
      <c r="R186" s="4"/>
      <c r="S186" s="4"/>
      <c r="T186" s="4"/>
      <c r="U186" s="4"/>
      <c r="V186" s="25"/>
    </row>
    <row r="187" spans="2:22" ht="18" customHeight="1" x14ac:dyDescent="0.2">
      <c r="B187" s="17"/>
      <c r="C187" s="2"/>
      <c r="D187" s="2"/>
      <c r="E187" s="3"/>
      <c r="F187" s="4"/>
      <c r="G187" s="63"/>
      <c r="H187" s="109"/>
      <c r="I187" s="109"/>
      <c r="J187" s="64"/>
      <c r="K187" s="198"/>
      <c r="M187" s="56"/>
      <c r="N187" s="4"/>
      <c r="O187" s="4"/>
      <c r="P187" s="4"/>
      <c r="Q187" s="4"/>
      <c r="R187" s="4"/>
      <c r="S187" s="4"/>
      <c r="T187" s="4"/>
      <c r="U187" s="4"/>
      <c r="V187" s="25"/>
    </row>
    <row r="188" spans="2:22" ht="18" x14ac:dyDescent="0.2">
      <c r="B188" s="17"/>
      <c r="C188" s="2"/>
      <c r="D188" s="2"/>
      <c r="E188" s="3"/>
      <c r="F188" s="4"/>
      <c r="G188" s="63"/>
      <c r="H188" s="85"/>
      <c r="I188" s="85"/>
      <c r="J188" s="86"/>
      <c r="K188" s="25"/>
      <c r="M188" s="56"/>
      <c r="N188" s="4"/>
      <c r="O188" s="4"/>
      <c r="P188" s="4"/>
      <c r="Q188" s="4"/>
      <c r="R188" s="4"/>
      <c r="S188" s="4"/>
      <c r="T188" s="4"/>
      <c r="U188" s="4"/>
      <c r="V188" s="25"/>
    </row>
    <row r="189" spans="2:22" ht="18" customHeight="1" x14ac:dyDescent="0.2">
      <c r="B189" s="17"/>
      <c r="C189" s="2"/>
      <c r="D189" s="2"/>
      <c r="E189" s="3"/>
      <c r="F189" s="4"/>
      <c r="G189" s="63"/>
      <c r="H189" s="161" t="s">
        <v>225</v>
      </c>
      <c r="I189" s="161"/>
      <c r="J189" s="87">
        <v>0.27</v>
      </c>
      <c r="K189" s="25"/>
      <c r="M189" s="56"/>
      <c r="N189" s="4"/>
      <c r="O189" s="4"/>
      <c r="P189" s="4"/>
      <c r="Q189" s="4"/>
      <c r="R189" s="4"/>
      <c r="S189" s="4"/>
      <c r="T189" s="4"/>
      <c r="U189" s="4"/>
      <c r="V189" s="25"/>
    </row>
    <row r="190" spans="2:22" ht="18" customHeight="1" x14ac:dyDescent="0.2">
      <c r="B190" s="17"/>
      <c r="C190" s="2"/>
      <c r="D190" s="2"/>
      <c r="E190" s="3"/>
      <c r="F190" s="4"/>
      <c r="G190" s="63"/>
      <c r="H190" s="109"/>
      <c r="I190" s="109"/>
      <c r="J190" s="64"/>
      <c r="K190" s="25"/>
      <c r="M190" s="56"/>
      <c r="N190" s="4"/>
      <c r="O190" s="4"/>
      <c r="P190" s="4"/>
      <c r="Q190" s="4"/>
      <c r="R190" s="4"/>
      <c r="S190" s="4"/>
      <c r="T190" s="4"/>
      <c r="U190" s="4"/>
      <c r="V190" s="25"/>
    </row>
    <row r="191" spans="2:22" ht="18" x14ac:dyDescent="0.2">
      <c r="B191" s="17"/>
      <c r="C191" s="2"/>
      <c r="D191" s="2"/>
      <c r="E191" s="3"/>
      <c r="F191" s="4"/>
      <c r="G191" s="63"/>
      <c r="H191" s="85"/>
      <c r="I191" s="85"/>
      <c r="J191" s="86"/>
      <c r="K191" s="25"/>
      <c r="M191" s="56"/>
      <c r="N191" s="4"/>
      <c r="O191" s="4"/>
      <c r="P191" s="4"/>
      <c r="Q191" s="4"/>
      <c r="R191" s="4"/>
      <c r="S191" s="4"/>
      <c r="T191" s="4"/>
      <c r="U191" s="4"/>
      <c r="V191" s="25"/>
    </row>
    <row r="192" spans="2:22" ht="18" customHeight="1" x14ac:dyDescent="0.2">
      <c r="B192" s="17"/>
      <c r="C192" s="2"/>
      <c r="D192" s="2"/>
      <c r="E192" s="3"/>
      <c r="F192" s="4"/>
      <c r="G192" s="63"/>
      <c r="H192" s="161" t="s">
        <v>226</v>
      </c>
      <c r="I192" s="161"/>
      <c r="J192" s="84">
        <f>J186*(1+J189)</f>
        <v>5700417.250456444</v>
      </c>
      <c r="K192" s="25"/>
      <c r="M192" s="56"/>
      <c r="N192" s="4"/>
      <c r="O192" s="4"/>
      <c r="P192" s="4"/>
      <c r="Q192" s="4"/>
      <c r="R192" s="4"/>
      <c r="S192" s="4"/>
      <c r="T192" s="4"/>
      <c r="U192" s="4"/>
      <c r="V192" s="25"/>
    </row>
    <row r="193" spans="2:22" x14ac:dyDescent="0.2">
      <c r="B193" s="17"/>
      <c r="C193" s="2"/>
      <c r="D193" s="2"/>
      <c r="E193" s="3"/>
      <c r="F193" s="4"/>
      <c r="G193" s="63"/>
      <c r="H193" s="109"/>
      <c r="I193" s="64"/>
      <c r="J193" s="64"/>
      <c r="K193" s="25"/>
      <c r="M193" s="56"/>
      <c r="N193" s="4"/>
      <c r="O193" s="4"/>
      <c r="P193" s="4"/>
      <c r="Q193" s="4"/>
      <c r="R193" s="4"/>
      <c r="S193" s="4"/>
      <c r="T193" s="4"/>
      <c r="U193" s="4"/>
      <c r="V193" s="25"/>
    </row>
    <row r="194" spans="2:22" x14ac:dyDescent="0.2">
      <c r="B194" s="17"/>
      <c r="C194" s="2"/>
      <c r="D194" s="2"/>
      <c r="E194" s="3"/>
      <c r="F194" s="4"/>
      <c r="G194" s="63"/>
      <c r="H194" s="109"/>
      <c r="I194" s="64"/>
      <c r="J194" s="64"/>
      <c r="K194" s="25"/>
      <c r="M194" s="56"/>
      <c r="N194" s="4"/>
      <c r="O194" s="4"/>
      <c r="P194" s="4"/>
      <c r="Q194" s="4"/>
      <c r="R194" s="4"/>
      <c r="S194" s="4"/>
      <c r="T194" s="4"/>
      <c r="U194" s="4"/>
      <c r="V194" s="25"/>
    </row>
    <row r="195" spans="2:22" x14ac:dyDescent="0.2">
      <c r="B195" s="17"/>
      <c r="C195" s="2"/>
      <c r="D195" s="2"/>
      <c r="E195" s="3"/>
      <c r="F195" s="4"/>
      <c r="G195" s="63"/>
      <c r="H195" s="109"/>
      <c r="I195" s="64"/>
      <c r="J195" s="64"/>
      <c r="K195" s="25"/>
      <c r="M195" s="56"/>
      <c r="N195" s="4"/>
      <c r="O195" s="4"/>
      <c r="P195" s="4"/>
      <c r="Q195" s="4"/>
      <c r="R195" s="4"/>
      <c r="S195" s="4"/>
      <c r="T195" s="4"/>
      <c r="U195" s="4"/>
      <c r="V195" s="25"/>
    </row>
    <row r="196" spans="2:22" x14ac:dyDescent="0.2">
      <c r="B196" s="17"/>
      <c r="C196" s="35">
        <v>10</v>
      </c>
      <c r="D196" s="35"/>
      <c r="E196" s="59"/>
      <c r="F196" s="36" t="s">
        <v>163</v>
      </c>
      <c r="G196" s="37"/>
      <c r="H196" s="106"/>
      <c r="I196" s="96"/>
      <c r="J196" s="38"/>
      <c r="K196" s="25"/>
      <c r="M196" s="56"/>
      <c r="N196" s="4"/>
      <c r="O196" s="4"/>
      <c r="P196" s="4"/>
      <c r="Q196" s="4"/>
      <c r="R196" s="4"/>
      <c r="S196" s="4"/>
      <c r="T196" s="4"/>
      <c r="U196" s="4"/>
      <c r="V196" s="25"/>
    </row>
    <row r="197" spans="2:22" x14ac:dyDescent="0.2">
      <c r="B197" s="17"/>
      <c r="C197" s="39" t="s">
        <v>164</v>
      </c>
      <c r="D197" s="39"/>
      <c r="E197" s="44"/>
      <c r="F197" s="60" t="s">
        <v>235</v>
      </c>
      <c r="G197" s="40"/>
      <c r="H197" s="107"/>
      <c r="I197" s="97"/>
      <c r="J197" s="41"/>
      <c r="K197" s="25"/>
      <c r="M197" s="56"/>
      <c r="N197" s="4"/>
      <c r="O197" s="4"/>
      <c r="P197" s="4"/>
      <c r="Q197" s="4"/>
      <c r="R197" s="4"/>
      <c r="S197" s="4"/>
      <c r="T197" s="4"/>
      <c r="U197" s="4"/>
      <c r="V197" s="25"/>
    </row>
    <row r="198" spans="2:22" ht="45" x14ac:dyDescent="0.2">
      <c r="B198" s="17"/>
      <c r="C198" s="43" t="s">
        <v>169</v>
      </c>
      <c r="D198" s="43"/>
      <c r="E198" s="44">
        <v>88267</v>
      </c>
      <c r="F198" s="45" t="s">
        <v>233</v>
      </c>
      <c r="G198" s="46" t="s">
        <v>32</v>
      </c>
      <c r="H198" s="47">
        <v>9</v>
      </c>
      <c r="I198" s="131">
        <v>3977.6</v>
      </c>
      <c r="J198" s="131">
        <f>H198*I198</f>
        <v>35798.400000000001</v>
      </c>
      <c r="K198" s="25"/>
      <c r="M198" s="56"/>
      <c r="N198" s="4"/>
      <c r="O198" s="168" t="s">
        <v>44</v>
      </c>
      <c r="P198" s="169"/>
      <c r="Q198" s="170"/>
      <c r="R198" s="81"/>
      <c r="S198" s="168" t="s">
        <v>44</v>
      </c>
      <c r="T198" s="169"/>
      <c r="U198" s="170"/>
      <c r="V198" s="25"/>
    </row>
    <row r="199" spans="2:22" x14ac:dyDescent="0.2">
      <c r="B199" s="17"/>
      <c r="C199" s="39" t="s">
        <v>236</v>
      </c>
      <c r="D199" s="39"/>
      <c r="E199" s="44"/>
      <c r="F199" s="60" t="s">
        <v>237</v>
      </c>
      <c r="G199" s="40"/>
      <c r="H199" s="107"/>
      <c r="I199" s="97"/>
      <c r="J199" s="41"/>
      <c r="K199" s="25"/>
      <c r="M199" s="56"/>
      <c r="N199" s="4"/>
      <c r="O199" s="16"/>
      <c r="P199" s="16"/>
      <c r="Q199" s="16"/>
      <c r="R199" s="16"/>
      <c r="S199" s="16"/>
      <c r="T199" s="16"/>
      <c r="U199" s="16"/>
      <c r="V199" s="25"/>
    </row>
    <row r="200" spans="2:22" ht="30" x14ac:dyDescent="0.2">
      <c r="B200" s="17"/>
      <c r="C200" s="43" t="s">
        <v>238</v>
      </c>
      <c r="D200" s="43"/>
      <c r="E200" s="44">
        <v>88264</v>
      </c>
      <c r="F200" s="45" t="s">
        <v>234</v>
      </c>
      <c r="G200" s="46" t="s">
        <v>32</v>
      </c>
      <c r="H200" s="47">
        <v>6</v>
      </c>
      <c r="I200" s="131">
        <v>4056.8</v>
      </c>
      <c r="J200" s="131">
        <f>H200*I200</f>
        <v>24340.800000000003</v>
      </c>
      <c r="K200" s="25"/>
      <c r="M200" s="56"/>
      <c r="N200" s="4"/>
      <c r="O200" s="168" t="s">
        <v>44</v>
      </c>
      <c r="P200" s="169"/>
      <c r="Q200" s="170"/>
      <c r="R200" s="81"/>
      <c r="S200" s="168" t="s">
        <v>44</v>
      </c>
      <c r="T200" s="169"/>
      <c r="U200" s="170"/>
      <c r="V200" s="25"/>
    </row>
    <row r="201" spans="2:22" x14ac:dyDescent="0.2">
      <c r="B201" s="17"/>
      <c r="C201" s="39" t="s">
        <v>240</v>
      </c>
      <c r="D201" s="39"/>
      <c r="E201" s="44"/>
      <c r="F201" s="60" t="s">
        <v>239</v>
      </c>
      <c r="G201" s="40"/>
      <c r="H201" s="107"/>
      <c r="I201" s="97"/>
      <c r="J201" s="41"/>
      <c r="K201" s="25"/>
      <c r="M201" s="56"/>
      <c r="N201" s="4"/>
      <c r="O201" s="16"/>
      <c r="P201" s="16"/>
      <c r="Q201" s="16"/>
      <c r="R201" s="16"/>
      <c r="S201" s="16"/>
      <c r="T201" s="16"/>
      <c r="U201" s="16"/>
      <c r="V201" s="25"/>
    </row>
    <row r="202" spans="2:22" x14ac:dyDescent="0.2">
      <c r="B202" s="17"/>
      <c r="C202" s="43" t="s">
        <v>241</v>
      </c>
      <c r="D202" s="43"/>
      <c r="E202" s="44" t="s">
        <v>198</v>
      </c>
      <c r="F202" s="45" t="s">
        <v>192</v>
      </c>
      <c r="G202" s="46" t="s">
        <v>166</v>
      </c>
      <c r="H202" s="47">
        <v>10</v>
      </c>
      <c r="I202" s="131">
        <f>MEDIAN(S202:U202)</f>
        <v>8500</v>
      </c>
      <c r="J202" s="131">
        <f>H202*I202</f>
        <v>85000</v>
      </c>
      <c r="K202" s="25"/>
      <c r="M202" s="56"/>
      <c r="N202" s="4"/>
      <c r="O202" s="131" t="s">
        <v>183</v>
      </c>
      <c r="P202" s="117" t="s">
        <v>384</v>
      </c>
      <c r="Q202" s="117" t="s">
        <v>385</v>
      </c>
      <c r="R202" s="81"/>
      <c r="S202" s="131">
        <v>3025</v>
      </c>
      <c r="T202" s="131">
        <v>9515</v>
      </c>
      <c r="U202" s="131">
        <v>8500</v>
      </c>
      <c r="V202" s="25"/>
    </row>
    <row r="203" spans="2:22" ht="30" x14ac:dyDescent="0.2">
      <c r="B203" s="17"/>
      <c r="C203" s="43" t="s">
        <v>242</v>
      </c>
      <c r="D203" s="43"/>
      <c r="E203" s="44" t="s">
        <v>198</v>
      </c>
      <c r="F203" s="45" t="s">
        <v>388</v>
      </c>
      <c r="G203" s="46" t="s">
        <v>167</v>
      </c>
      <c r="H203" s="47">
        <v>40</v>
      </c>
      <c r="I203" s="131">
        <f>MEDIAN(S203:U203)</f>
        <v>220</v>
      </c>
      <c r="J203" s="131">
        <f t="shared" ref="J203:J204" si="15">H203*I203</f>
        <v>8800</v>
      </c>
      <c r="K203" s="25"/>
      <c r="M203" s="56"/>
      <c r="N203" s="4"/>
      <c r="O203" s="117" t="s">
        <v>190</v>
      </c>
      <c r="P203" s="117" t="s">
        <v>386</v>
      </c>
      <c r="Q203" s="117" t="s">
        <v>387</v>
      </c>
      <c r="R203" s="81"/>
      <c r="S203" s="131">
        <v>220</v>
      </c>
      <c r="T203" s="131">
        <v>150</v>
      </c>
      <c r="U203" s="131">
        <v>280</v>
      </c>
      <c r="V203" s="25"/>
    </row>
    <row r="204" spans="2:22" ht="60" x14ac:dyDescent="0.2">
      <c r="B204" s="17"/>
      <c r="C204" s="43" t="s">
        <v>243</v>
      </c>
      <c r="D204" s="43">
        <v>91031</v>
      </c>
      <c r="E204" s="44" t="s">
        <v>44</v>
      </c>
      <c r="F204" s="45" t="s">
        <v>189</v>
      </c>
      <c r="G204" s="46" t="s">
        <v>46</v>
      </c>
      <c r="H204" s="47">
        <v>30</v>
      </c>
      <c r="I204" s="131">
        <v>167.04</v>
      </c>
      <c r="J204" s="131">
        <f t="shared" si="15"/>
        <v>5011.2</v>
      </c>
      <c r="K204" s="25"/>
      <c r="M204" s="56"/>
      <c r="N204" s="4"/>
      <c r="O204" s="168" t="s">
        <v>44</v>
      </c>
      <c r="P204" s="169"/>
      <c r="Q204" s="170"/>
      <c r="R204" s="81"/>
      <c r="S204" s="168" t="s">
        <v>44</v>
      </c>
      <c r="T204" s="169"/>
      <c r="U204" s="170"/>
      <c r="V204" s="25"/>
    </row>
    <row r="205" spans="2:22" x14ac:dyDescent="0.2">
      <c r="B205" s="17"/>
      <c r="C205" s="39" t="s">
        <v>245</v>
      </c>
      <c r="D205" s="39"/>
      <c r="E205" s="44"/>
      <c r="F205" s="60" t="s">
        <v>244</v>
      </c>
      <c r="G205" s="40"/>
      <c r="H205" s="107"/>
      <c r="I205" s="97"/>
      <c r="J205" s="41"/>
      <c r="K205" s="25"/>
      <c r="M205" s="56"/>
      <c r="N205" s="4"/>
      <c r="O205" s="16"/>
      <c r="P205" s="16"/>
      <c r="Q205" s="16"/>
      <c r="R205" s="16"/>
      <c r="S205" s="16"/>
      <c r="T205" s="16"/>
      <c r="U205" s="16"/>
      <c r="V205" s="25"/>
    </row>
    <row r="206" spans="2:22" ht="30" x14ac:dyDescent="0.2">
      <c r="B206" s="17"/>
      <c r="C206" s="43" t="s">
        <v>246</v>
      </c>
      <c r="D206" s="43" t="s">
        <v>171</v>
      </c>
      <c r="E206" s="44" t="s">
        <v>198</v>
      </c>
      <c r="F206" s="45" t="s">
        <v>165</v>
      </c>
      <c r="G206" s="46" t="s">
        <v>58</v>
      </c>
      <c r="H206" s="47">
        <v>1</v>
      </c>
      <c r="I206" s="131">
        <f t="shared" ref="I206" si="16">AVERAGE(S206:U206)</f>
        <v>214.82</v>
      </c>
      <c r="J206" s="131">
        <f>H206*I206</f>
        <v>214.82</v>
      </c>
      <c r="K206" s="25"/>
      <c r="M206" s="56"/>
      <c r="N206" s="4"/>
      <c r="O206" s="131" t="s">
        <v>171</v>
      </c>
      <c r="P206" s="131" t="s">
        <v>191</v>
      </c>
      <c r="Q206" s="131" t="s">
        <v>191</v>
      </c>
      <c r="R206" s="81"/>
      <c r="S206" s="131">
        <v>214.82</v>
      </c>
      <c r="T206" s="131" t="s">
        <v>206</v>
      </c>
      <c r="U206" s="131" t="s">
        <v>206</v>
      </c>
      <c r="V206" s="25"/>
    </row>
    <row r="207" spans="2:22" x14ac:dyDescent="0.2">
      <c r="B207" s="17"/>
      <c r="C207" s="43" t="s">
        <v>247</v>
      </c>
      <c r="D207" s="43">
        <v>34780</v>
      </c>
      <c r="E207" s="44" t="s">
        <v>44</v>
      </c>
      <c r="F207" s="45" t="s">
        <v>221</v>
      </c>
      <c r="G207" s="46" t="s">
        <v>168</v>
      </c>
      <c r="H207" s="47">
        <v>528</v>
      </c>
      <c r="I207" s="131">
        <v>90.45</v>
      </c>
      <c r="J207" s="131">
        <f t="shared" ref="J207" si="17">H207*I207</f>
        <v>47757.599999999999</v>
      </c>
      <c r="K207" s="25"/>
      <c r="M207" s="56"/>
      <c r="N207" s="4"/>
      <c r="O207" s="168" t="s">
        <v>389</v>
      </c>
      <c r="P207" s="169"/>
      <c r="Q207" s="170"/>
      <c r="R207" s="81"/>
      <c r="S207" s="168" t="s">
        <v>389</v>
      </c>
      <c r="T207" s="169"/>
      <c r="U207" s="170"/>
      <c r="V207" s="25"/>
    </row>
    <row r="208" spans="2:22" x14ac:dyDescent="0.2">
      <c r="B208" s="17"/>
      <c r="C208" s="39" t="s">
        <v>248</v>
      </c>
      <c r="D208" s="39"/>
      <c r="E208" s="44"/>
      <c r="F208" s="60" t="s">
        <v>249</v>
      </c>
      <c r="G208" s="40"/>
      <c r="H208" s="107"/>
      <c r="I208" s="97"/>
      <c r="J208" s="41"/>
      <c r="K208" s="25"/>
      <c r="M208" s="56"/>
      <c r="N208" s="4"/>
      <c r="O208" s="16"/>
      <c r="P208" s="16"/>
      <c r="Q208" s="16"/>
      <c r="R208" s="16"/>
      <c r="S208" s="16"/>
      <c r="T208" s="16"/>
      <c r="U208" s="16"/>
      <c r="V208" s="25"/>
    </row>
    <row r="209" spans="2:23" ht="45" x14ac:dyDescent="0.2">
      <c r="B209" s="17"/>
      <c r="C209" s="43" t="s">
        <v>250</v>
      </c>
      <c r="D209" s="43"/>
      <c r="E209" s="44">
        <v>88267</v>
      </c>
      <c r="F209" s="45" t="s">
        <v>233</v>
      </c>
      <c r="G209" s="46" t="s">
        <v>32</v>
      </c>
      <c r="H209" s="47">
        <v>0.8</v>
      </c>
      <c r="I209" s="133">
        <v>3977.6</v>
      </c>
      <c r="J209" s="131">
        <f>H209*I209</f>
        <v>3182.08</v>
      </c>
      <c r="K209" s="25"/>
      <c r="M209" s="56"/>
      <c r="N209" s="4"/>
      <c r="O209" s="168" t="s">
        <v>44</v>
      </c>
      <c r="P209" s="169"/>
      <c r="Q209" s="170"/>
      <c r="R209" s="81"/>
      <c r="S209" s="168" t="s">
        <v>44</v>
      </c>
      <c r="T209" s="169"/>
      <c r="U209" s="170"/>
      <c r="V209" s="25"/>
    </row>
    <row r="210" spans="2:23" ht="30" x14ac:dyDescent="0.2">
      <c r="B210" s="17"/>
      <c r="C210" s="43" t="s">
        <v>251</v>
      </c>
      <c r="D210" s="43"/>
      <c r="E210" s="44">
        <v>88264</v>
      </c>
      <c r="F210" s="45" t="s">
        <v>234</v>
      </c>
      <c r="G210" s="46" t="s">
        <v>32</v>
      </c>
      <c r="H210" s="47">
        <v>0.8</v>
      </c>
      <c r="I210" s="133">
        <v>4056.8</v>
      </c>
      <c r="J210" s="131">
        <f>H210*I210</f>
        <v>3245.4400000000005</v>
      </c>
      <c r="K210" s="25"/>
      <c r="M210" s="56"/>
      <c r="N210" s="4"/>
      <c r="O210" s="168" t="s">
        <v>44</v>
      </c>
      <c r="P210" s="169"/>
      <c r="Q210" s="170"/>
      <c r="R210" s="81"/>
      <c r="S210" s="168" t="s">
        <v>44</v>
      </c>
      <c r="T210" s="169"/>
      <c r="U210" s="170"/>
      <c r="V210" s="25"/>
    </row>
    <row r="211" spans="2:23" x14ac:dyDescent="0.2">
      <c r="B211" s="17"/>
      <c r="C211" s="53"/>
      <c r="D211" s="53"/>
      <c r="E211" s="54"/>
      <c r="F211" s="53"/>
      <c r="G211" s="108"/>
      <c r="H211" s="108"/>
      <c r="I211" s="98" t="s">
        <v>41</v>
      </c>
      <c r="J211" s="55">
        <f>SUM(J198:J210)</f>
        <v>213350.34000000003</v>
      </c>
      <c r="K211" s="25"/>
      <c r="M211" s="56"/>
      <c r="N211" s="4"/>
      <c r="O211" s="4"/>
      <c r="P211" s="4"/>
      <c r="Q211" s="4"/>
      <c r="R211" s="4"/>
      <c r="S211" s="4"/>
      <c r="T211" s="4"/>
      <c r="U211" s="4"/>
      <c r="V211" s="25"/>
    </row>
    <row r="212" spans="2:23" x14ac:dyDescent="0.2">
      <c r="B212" s="17"/>
      <c r="C212" s="2"/>
      <c r="D212" s="2"/>
      <c r="E212" s="3"/>
      <c r="F212" s="4"/>
      <c r="G212" s="63"/>
      <c r="H212" s="109"/>
      <c r="I212" s="64"/>
      <c r="J212" s="64"/>
      <c r="K212" s="25"/>
      <c r="M212" s="56"/>
      <c r="N212" s="4"/>
      <c r="O212" s="4"/>
      <c r="P212" s="4"/>
      <c r="Q212" s="4"/>
      <c r="R212" s="4"/>
      <c r="S212" s="4"/>
      <c r="T212" s="4"/>
      <c r="U212" s="4"/>
      <c r="V212" s="25"/>
    </row>
    <row r="213" spans="2:23" ht="18" x14ac:dyDescent="0.2">
      <c r="B213" s="17"/>
      <c r="C213" s="2"/>
      <c r="D213" s="2"/>
      <c r="E213" s="3"/>
      <c r="F213" s="4"/>
      <c r="G213" s="63"/>
      <c r="H213" s="161" t="s">
        <v>227</v>
      </c>
      <c r="I213" s="161"/>
      <c r="J213" s="84">
        <f>SUM(J211)</f>
        <v>213350.34000000003</v>
      </c>
      <c r="K213" s="25"/>
      <c r="M213" s="56"/>
      <c r="N213" s="4"/>
      <c r="O213" s="4"/>
      <c r="P213" s="4"/>
      <c r="Q213" s="4"/>
      <c r="R213" s="4"/>
      <c r="S213" s="4"/>
      <c r="T213" s="4"/>
      <c r="U213" s="4"/>
      <c r="V213" s="25"/>
    </row>
    <row r="214" spans="2:23" ht="18" x14ac:dyDescent="0.2">
      <c r="B214" s="17"/>
      <c r="C214" s="2"/>
      <c r="D214" s="2"/>
      <c r="E214" s="3"/>
      <c r="F214" s="4"/>
      <c r="G214" s="63"/>
      <c r="H214" s="85"/>
      <c r="I214" s="85"/>
      <c r="J214" s="86"/>
      <c r="K214" s="25"/>
      <c r="M214" s="56"/>
      <c r="N214" s="4"/>
      <c r="O214" s="4"/>
      <c r="P214" s="4"/>
      <c r="Q214" s="4"/>
      <c r="R214" s="4"/>
      <c r="S214" s="4"/>
      <c r="T214" s="4"/>
      <c r="U214" s="4"/>
      <c r="V214" s="25"/>
    </row>
    <row r="215" spans="2:23" ht="45" customHeight="1" x14ac:dyDescent="0.3">
      <c r="B215" s="17"/>
      <c r="C215" s="2"/>
      <c r="D215" s="2"/>
      <c r="E215" s="3"/>
      <c r="F215" s="119"/>
      <c r="G215" s="63"/>
      <c r="H215" s="161" t="s">
        <v>414</v>
      </c>
      <c r="I215" s="161"/>
      <c r="J215" s="87">
        <v>0.3</v>
      </c>
      <c r="K215" s="25"/>
      <c r="M215" s="56"/>
      <c r="N215" s="4"/>
      <c r="O215" s="4"/>
      <c r="P215" s="4"/>
      <c r="Q215" s="4"/>
      <c r="R215" s="4"/>
      <c r="S215" s="4"/>
      <c r="T215" s="4"/>
      <c r="U215" s="4"/>
      <c r="V215" s="25"/>
    </row>
    <row r="216" spans="2:23" ht="18" x14ac:dyDescent="0.2">
      <c r="B216" s="17"/>
      <c r="C216" s="2"/>
      <c r="D216" s="2"/>
      <c r="E216" s="3"/>
      <c r="F216" s="4"/>
      <c r="G216" s="63"/>
      <c r="H216" s="85"/>
      <c r="I216" s="85"/>
      <c r="J216" s="86"/>
      <c r="K216" s="25"/>
      <c r="M216" s="56"/>
      <c r="N216" s="4"/>
      <c r="O216" s="4"/>
      <c r="P216" s="4"/>
      <c r="Q216" s="4"/>
      <c r="R216" s="4"/>
      <c r="S216" s="4"/>
      <c r="T216" s="4"/>
      <c r="U216" s="4"/>
      <c r="V216" s="25"/>
    </row>
    <row r="217" spans="2:23" ht="18" x14ac:dyDescent="0.2">
      <c r="B217" s="17"/>
      <c r="C217" s="2"/>
      <c r="D217" s="2"/>
      <c r="E217" s="3"/>
      <c r="F217" s="4"/>
      <c r="G217" s="63"/>
      <c r="H217" s="161" t="s">
        <v>228</v>
      </c>
      <c r="I217" s="161"/>
      <c r="J217" s="84">
        <f>J213*(1+J215)</f>
        <v>277355.44200000004</v>
      </c>
      <c r="K217" s="25"/>
      <c r="M217" s="56"/>
      <c r="N217" s="4"/>
      <c r="O217" s="4"/>
      <c r="P217" s="4"/>
      <c r="Q217" s="4"/>
      <c r="R217" s="4"/>
      <c r="S217" s="4"/>
      <c r="T217" s="4"/>
      <c r="U217" s="4"/>
      <c r="V217" s="25"/>
    </row>
    <row r="218" spans="2:23" x14ac:dyDescent="0.2">
      <c r="B218" s="17"/>
      <c r="C218" s="2"/>
      <c r="D218" s="2"/>
      <c r="E218" s="3"/>
      <c r="F218" s="4"/>
      <c r="G218" s="63"/>
      <c r="H218" s="109"/>
      <c r="I218" s="64"/>
      <c r="J218" s="64"/>
      <c r="K218" s="25"/>
      <c r="M218" s="56"/>
      <c r="N218" s="4"/>
      <c r="O218" s="4"/>
      <c r="P218" s="4"/>
      <c r="Q218" s="4"/>
      <c r="R218" s="4"/>
      <c r="S218" s="4"/>
      <c r="T218" s="4"/>
      <c r="U218" s="4"/>
      <c r="V218" s="25"/>
    </row>
    <row r="219" spans="2:23" ht="18" x14ac:dyDescent="0.2">
      <c r="B219" s="17"/>
      <c r="C219" s="2"/>
      <c r="D219" s="2"/>
      <c r="E219" s="3"/>
      <c r="F219" s="4"/>
      <c r="G219" s="63"/>
      <c r="H219" s="85"/>
      <c r="I219" s="85"/>
      <c r="J219" s="86"/>
      <c r="K219" s="25"/>
      <c r="M219" s="56"/>
      <c r="N219" s="4"/>
      <c r="O219" s="4"/>
      <c r="P219" s="4"/>
      <c r="Q219" s="4"/>
      <c r="R219" s="4"/>
      <c r="S219" s="4"/>
      <c r="T219" s="4"/>
      <c r="U219" s="4"/>
      <c r="V219" s="25"/>
    </row>
    <row r="220" spans="2:23" ht="45" customHeight="1" x14ac:dyDescent="0.2">
      <c r="B220" s="17"/>
      <c r="C220" s="2"/>
      <c r="D220" s="2"/>
      <c r="E220" s="3"/>
      <c r="F220" s="162" t="s">
        <v>229</v>
      </c>
      <c r="G220" s="163"/>
      <c r="H220" s="164">
        <f>SUM(J217,J192)</f>
        <v>5977772.6924564438</v>
      </c>
      <c r="I220" s="165"/>
      <c r="J220" s="166"/>
      <c r="K220" s="25"/>
      <c r="M220" s="56"/>
      <c r="N220" s="4"/>
      <c r="O220" s="4"/>
      <c r="P220" s="4"/>
      <c r="Q220" s="4"/>
      <c r="R220" s="4"/>
      <c r="S220" s="4"/>
      <c r="T220" s="4"/>
      <c r="U220" s="4"/>
      <c r="V220" s="25"/>
    </row>
    <row r="221" spans="2:23" x14ac:dyDescent="0.2">
      <c r="B221" s="17"/>
      <c r="C221" s="2"/>
      <c r="D221" s="2"/>
      <c r="E221" s="3"/>
      <c r="F221" s="4"/>
      <c r="G221" s="63"/>
      <c r="H221" s="109"/>
      <c r="I221" s="64"/>
      <c r="J221" s="64"/>
      <c r="K221" s="25"/>
      <c r="M221" s="56"/>
      <c r="N221" s="4"/>
      <c r="O221" s="4"/>
      <c r="P221" s="4"/>
      <c r="Q221" s="4"/>
      <c r="R221" s="4"/>
      <c r="S221" s="4"/>
      <c r="T221" s="4"/>
      <c r="U221" s="4"/>
      <c r="V221" s="25"/>
    </row>
    <row r="222" spans="2:23" x14ac:dyDescent="0.2">
      <c r="B222" s="17"/>
      <c r="C222" s="2"/>
      <c r="D222" s="2"/>
      <c r="E222" s="3"/>
      <c r="F222" s="4"/>
      <c r="G222" s="63"/>
      <c r="H222" s="109"/>
      <c r="I222" s="64"/>
      <c r="J222" s="64"/>
      <c r="K222" s="25"/>
      <c r="M222" s="34"/>
    </row>
    <row r="223" spans="2:23" x14ac:dyDescent="0.2">
      <c r="B223" s="65"/>
      <c r="C223" s="66"/>
      <c r="D223" s="66"/>
      <c r="E223" s="67"/>
      <c r="F223" s="68"/>
      <c r="G223" s="69"/>
      <c r="H223" s="110"/>
      <c r="I223" s="70"/>
      <c r="J223" s="70"/>
      <c r="K223" s="71"/>
      <c r="N223" s="120"/>
      <c r="O223" s="82"/>
      <c r="P223" s="82"/>
      <c r="Q223" s="82"/>
      <c r="R223" s="82"/>
      <c r="S223" s="82"/>
      <c r="T223" s="82"/>
      <c r="U223" s="82"/>
      <c r="V223" s="82"/>
      <c r="W223" s="77"/>
    </row>
    <row r="231" spans="1:24" ht="15.75" x14ac:dyDescent="0.25">
      <c r="F231" s="91"/>
      <c r="G231" s="92"/>
      <c r="H231" s="111"/>
      <c r="I231" s="99"/>
    </row>
    <row r="232" spans="1:24" ht="15.75" x14ac:dyDescent="0.25">
      <c r="F232" s="91"/>
      <c r="G232" s="92"/>
      <c r="H232" s="111"/>
      <c r="I232" s="99"/>
    </row>
    <row r="233" spans="1:24" ht="15.75" x14ac:dyDescent="0.25">
      <c r="F233" s="91"/>
      <c r="G233" s="92"/>
      <c r="H233" s="111"/>
      <c r="I233" s="99"/>
    </row>
    <row r="234" spans="1:24" ht="15.75" x14ac:dyDescent="0.25">
      <c r="F234" s="91"/>
      <c r="G234" s="92"/>
      <c r="H234" s="111"/>
      <c r="I234" s="99"/>
    </row>
    <row r="235" spans="1:24" s="7" customFormat="1" ht="15.75" x14ac:dyDescent="0.25">
      <c r="A235" s="1"/>
      <c r="B235" s="1"/>
      <c r="C235" s="72"/>
      <c r="D235" s="72"/>
      <c r="E235" s="73"/>
      <c r="F235" s="91"/>
      <c r="G235" s="92"/>
      <c r="H235" s="111"/>
      <c r="I235" s="99"/>
      <c r="K235" s="1"/>
      <c r="L235" s="8"/>
      <c r="M235" s="8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s="7" customFormat="1" ht="15.75" x14ac:dyDescent="0.25">
      <c r="A236" s="1"/>
      <c r="B236" s="1"/>
      <c r="C236" s="72"/>
      <c r="D236" s="72"/>
      <c r="E236" s="73"/>
      <c r="F236" s="91"/>
      <c r="G236" s="92"/>
      <c r="H236" s="111"/>
      <c r="I236" s="99"/>
      <c r="K236" s="1"/>
      <c r="L236" s="8"/>
      <c r="M236" s="8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s="7" customFormat="1" ht="15.75" x14ac:dyDescent="0.25">
      <c r="A237" s="1"/>
      <c r="B237" s="1"/>
      <c r="C237" s="72"/>
      <c r="D237" s="72"/>
      <c r="E237" s="73"/>
      <c r="F237" s="91"/>
      <c r="G237" s="92"/>
      <c r="H237" s="111"/>
      <c r="I237" s="99"/>
      <c r="K237" s="1"/>
      <c r="L237" s="8"/>
      <c r="M237" s="8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s="7" customFormat="1" ht="15.75" x14ac:dyDescent="0.25">
      <c r="A238" s="1"/>
      <c r="B238" s="1"/>
      <c r="C238" s="72"/>
      <c r="D238" s="72"/>
      <c r="E238" s="73"/>
      <c r="F238" s="91"/>
      <c r="G238" s="92"/>
      <c r="H238" s="111"/>
      <c r="I238" s="99"/>
      <c r="K238" s="1"/>
      <c r="L238" s="8"/>
      <c r="M238" s="8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s="7" customFormat="1" ht="15.75" x14ac:dyDescent="0.25">
      <c r="A239" s="1"/>
      <c r="B239" s="1"/>
      <c r="C239" s="72"/>
      <c r="D239" s="72"/>
      <c r="E239" s="73"/>
      <c r="F239" s="91"/>
      <c r="G239" s="92"/>
      <c r="H239" s="111"/>
      <c r="I239" s="99"/>
      <c r="K239" s="1"/>
      <c r="L239" s="8"/>
      <c r="M239" s="8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s="7" customFormat="1" ht="15.75" x14ac:dyDescent="0.25">
      <c r="A240" s="1"/>
      <c r="B240" s="1"/>
      <c r="C240" s="72"/>
      <c r="D240" s="72"/>
      <c r="E240" s="73"/>
      <c r="F240" s="91"/>
      <c r="G240" s="92"/>
      <c r="H240" s="111"/>
      <c r="I240" s="99"/>
      <c r="K240" s="1"/>
      <c r="L240" s="8"/>
      <c r="M240" s="8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s="7" customFormat="1" ht="15.75" x14ac:dyDescent="0.25">
      <c r="A241" s="1"/>
      <c r="B241" s="1"/>
      <c r="C241" s="72"/>
      <c r="D241" s="72"/>
      <c r="E241" s="73"/>
      <c r="F241" s="91"/>
      <c r="G241" s="92"/>
      <c r="H241" s="111"/>
      <c r="I241" s="99"/>
      <c r="K241" s="1"/>
      <c r="L241" s="8"/>
      <c r="M241" s="8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s="7" customFormat="1" ht="15.75" x14ac:dyDescent="0.25">
      <c r="A242" s="1"/>
      <c r="B242" s="1"/>
      <c r="C242" s="72"/>
      <c r="D242" s="72"/>
      <c r="E242" s="73"/>
      <c r="F242" s="91"/>
      <c r="G242" s="92"/>
      <c r="H242" s="111"/>
      <c r="I242" s="99"/>
      <c r="K242" s="1"/>
      <c r="L242" s="8"/>
      <c r="M242" s="8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</sheetData>
  <sheetProtection formatCells="0" selectLockedCells="1"/>
  <mergeCells count="170">
    <mergeCell ref="S132:U132"/>
    <mergeCell ref="O135:Q135"/>
    <mergeCell ref="S135:U135"/>
    <mergeCell ref="S143:U143"/>
    <mergeCell ref="O144:Q144"/>
    <mergeCell ref="S144:U144"/>
    <mergeCell ref="O145:Q145"/>
    <mergeCell ref="S145:U145"/>
    <mergeCell ref="O152:Q152"/>
    <mergeCell ref="S152:U152"/>
    <mergeCell ref="O136:Q136"/>
    <mergeCell ref="S136:U136"/>
    <mergeCell ref="O138:Q138"/>
    <mergeCell ref="S138:U138"/>
    <mergeCell ref="O139:Q139"/>
    <mergeCell ref="S139:U139"/>
    <mergeCell ref="O140:Q140"/>
    <mergeCell ref="S140:U140"/>
    <mergeCell ref="S119:U119"/>
    <mergeCell ref="O121:Q121"/>
    <mergeCell ref="S121:U121"/>
    <mergeCell ref="O124:Q124"/>
    <mergeCell ref="S124:U124"/>
    <mergeCell ref="S125:U125"/>
    <mergeCell ref="O129:Q129"/>
    <mergeCell ref="S129:U129"/>
    <mergeCell ref="O131:Q131"/>
    <mergeCell ref="S131:U131"/>
    <mergeCell ref="S110:U110"/>
    <mergeCell ref="O111:Q111"/>
    <mergeCell ref="S111:U111"/>
    <mergeCell ref="O112:Q112"/>
    <mergeCell ref="S112:U112"/>
    <mergeCell ref="O113:Q113"/>
    <mergeCell ref="S113:U113"/>
    <mergeCell ref="S116:U116"/>
    <mergeCell ref="O118:Q118"/>
    <mergeCell ref="S118:U118"/>
    <mergeCell ref="C2:E2"/>
    <mergeCell ref="C3:E3"/>
    <mergeCell ref="O11:Q11"/>
    <mergeCell ref="S11:U11"/>
    <mergeCell ref="O15:Q15"/>
    <mergeCell ref="S15:U15"/>
    <mergeCell ref="G2:I2"/>
    <mergeCell ref="G3:I3"/>
    <mergeCell ref="J2:K2"/>
    <mergeCell ref="J3:K3"/>
    <mergeCell ref="O16:Q16"/>
    <mergeCell ref="S16:U16"/>
    <mergeCell ref="C4:E4"/>
    <mergeCell ref="C5:E5"/>
    <mergeCell ref="C6:E6"/>
    <mergeCell ref="C9:J9"/>
    <mergeCell ref="O20:Q20"/>
    <mergeCell ref="S20:U20"/>
    <mergeCell ref="G4:I6"/>
    <mergeCell ref="J4:K6"/>
    <mergeCell ref="O21:Q21"/>
    <mergeCell ref="S21:U21"/>
    <mergeCell ref="O22:Q22"/>
    <mergeCell ref="S22:U22"/>
    <mergeCell ref="O17:Q17"/>
    <mergeCell ref="S17:U17"/>
    <mergeCell ref="O19:Q19"/>
    <mergeCell ref="S19:U19"/>
    <mergeCell ref="O28:Q28"/>
    <mergeCell ref="S28:U28"/>
    <mergeCell ref="O24:Q24"/>
    <mergeCell ref="S24:U24"/>
    <mergeCell ref="O23:Q23"/>
    <mergeCell ref="S23:U23"/>
    <mergeCell ref="O45:Q45"/>
    <mergeCell ref="S45:U45"/>
    <mergeCell ref="O46:Q46"/>
    <mergeCell ref="S46:U46"/>
    <mergeCell ref="O40:Q40"/>
    <mergeCell ref="S40:U40"/>
    <mergeCell ref="O41:Q41"/>
    <mergeCell ref="S41:U41"/>
    <mergeCell ref="O29:Q29"/>
    <mergeCell ref="S29:U29"/>
    <mergeCell ref="O30:Q30"/>
    <mergeCell ref="S30:U30"/>
    <mergeCell ref="O38:Q38"/>
    <mergeCell ref="S38:U38"/>
    <mergeCell ref="O36:Q36"/>
    <mergeCell ref="S36:U36"/>
    <mergeCell ref="O37:Q37"/>
    <mergeCell ref="S37:U37"/>
    <mergeCell ref="O35:Q35"/>
    <mergeCell ref="S35:U35"/>
    <mergeCell ref="O31:Q31"/>
    <mergeCell ref="S31:U31"/>
    <mergeCell ref="S77:U77"/>
    <mergeCell ref="O60:Q60"/>
    <mergeCell ref="S60:U60"/>
    <mergeCell ref="O50:Q50"/>
    <mergeCell ref="S50:U50"/>
    <mergeCell ref="O51:Q51"/>
    <mergeCell ref="S51:U51"/>
    <mergeCell ref="O56:Q56"/>
    <mergeCell ref="S56:U56"/>
    <mergeCell ref="S71:U71"/>
    <mergeCell ref="O72:Q72"/>
    <mergeCell ref="O63:Q63"/>
    <mergeCell ref="S63:U63"/>
    <mergeCell ref="O64:Q64"/>
    <mergeCell ref="S64:U64"/>
    <mergeCell ref="O65:Q65"/>
    <mergeCell ref="S65:U65"/>
    <mergeCell ref="O69:Q69"/>
    <mergeCell ref="S69:U69"/>
    <mergeCell ref="O70:Q70"/>
    <mergeCell ref="S70:U70"/>
    <mergeCell ref="O66:Q66"/>
    <mergeCell ref="S66:U66"/>
    <mergeCell ref="O67:Q67"/>
    <mergeCell ref="S67:U67"/>
    <mergeCell ref="O68:Q68"/>
    <mergeCell ref="S68:U68"/>
    <mergeCell ref="S72:U72"/>
    <mergeCell ref="S100:U100"/>
    <mergeCell ref="O101:Q101"/>
    <mergeCell ref="S101:U101"/>
    <mergeCell ref="H213:I213"/>
    <mergeCell ref="H215:I215"/>
    <mergeCell ref="S207:U207"/>
    <mergeCell ref="S209:U209"/>
    <mergeCell ref="S210:U210"/>
    <mergeCell ref="S198:U198"/>
    <mergeCell ref="S200:U200"/>
    <mergeCell ref="S204:U204"/>
    <mergeCell ref="S107:U107"/>
    <mergeCell ref="O108:Q108"/>
    <mergeCell ref="S108:U108"/>
    <mergeCell ref="S102:U102"/>
    <mergeCell ref="O103:Q103"/>
    <mergeCell ref="S103:U103"/>
    <mergeCell ref="O104:Q104"/>
    <mergeCell ref="S104:U104"/>
    <mergeCell ref="O105:Q105"/>
    <mergeCell ref="S105:U105"/>
    <mergeCell ref="O106:Q106"/>
    <mergeCell ref="S106:U106"/>
    <mergeCell ref="S109:U109"/>
    <mergeCell ref="H217:I217"/>
    <mergeCell ref="F220:G220"/>
    <mergeCell ref="H220:J220"/>
    <mergeCell ref="H186:I186"/>
    <mergeCell ref="H189:I189"/>
    <mergeCell ref="H192:I192"/>
    <mergeCell ref="O71:Q71"/>
    <mergeCell ref="O109:Q109"/>
    <mergeCell ref="O116:Q116"/>
    <mergeCell ref="O125:Q125"/>
    <mergeCell ref="O143:Q143"/>
    <mergeCell ref="O207:Q207"/>
    <mergeCell ref="O102:Q102"/>
    <mergeCell ref="O107:Q107"/>
    <mergeCell ref="O209:Q209"/>
    <mergeCell ref="O210:Q210"/>
    <mergeCell ref="O198:Q198"/>
    <mergeCell ref="O200:Q200"/>
    <mergeCell ref="O204:Q204"/>
    <mergeCell ref="O100:Q100"/>
    <mergeCell ref="O77:Q77"/>
    <mergeCell ref="O110:Q110"/>
    <mergeCell ref="O119:Q119"/>
    <mergeCell ref="O132:Q132"/>
  </mergeCells>
  <printOptions horizontalCentered="1"/>
  <pageMargins left="0.25" right="0.25" top="0.75" bottom="0.75" header="0.3" footer="0.3"/>
  <pageSetup paperSize="9" scale="35" fitToWidth="0" fitToHeight="0" orientation="landscape" r:id="rId1"/>
  <headerFooter alignWithMargins="0">
    <oddFooter>&amp;C&amp;"Arial,Negrito"&amp;8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B1" workbookViewId="0">
      <selection activeCell="C24" sqref="C24"/>
    </sheetView>
  </sheetViews>
  <sheetFormatPr defaultRowHeight="12.75" x14ac:dyDescent="0.2"/>
  <cols>
    <col min="1" max="1" width="7.140625" style="141" bestFit="1" customWidth="1"/>
    <col min="2" max="2" width="66.5703125" bestFit="1" customWidth="1"/>
    <col min="3" max="3" width="18.42578125" style="90" bestFit="1" customWidth="1"/>
    <col min="4" max="5" width="20.85546875" bestFit="1" customWidth="1"/>
  </cols>
  <sheetData>
    <row r="1" spans="1:4" x14ac:dyDescent="0.2">
      <c r="A1" s="185" t="s">
        <v>217</v>
      </c>
      <c r="B1" s="187" t="s">
        <v>404</v>
      </c>
      <c r="C1" s="187" t="s">
        <v>218</v>
      </c>
      <c r="D1" s="187" t="s">
        <v>219</v>
      </c>
    </row>
    <row r="2" spans="1:4" x14ac:dyDescent="0.2">
      <c r="A2" s="186"/>
      <c r="B2" s="188"/>
      <c r="C2" s="188"/>
      <c r="D2" s="188"/>
    </row>
    <row r="3" spans="1:4" ht="15.75" x14ac:dyDescent="0.2">
      <c r="A3" s="140">
        <v>1</v>
      </c>
      <c r="B3" s="137" t="s">
        <v>42</v>
      </c>
      <c r="C3" s="138">
        <f>'Planilha de valores'!J15+'Planilha de valores'!J16+'Planilha de valores'!J17</f>
        <v>6838.1900000000005</v>
      </c>
      <c r="D3" s="134">
        <f t="shared" ref="D3:D13" si="0">C3*1.27</f>
        <v>8684.5012999999999</v>
      </c>
    </row>
    <row r="4" spans="1:4" ht="15.75" x14ac:dyDescent="0.2">
      <c r="A4" s="140">
        <v>2</v>
      </c>
      <c r="B4" s="137" t="s">
        <v>405</v>
      </c>
      <c r="C4" s="135">
        <f>'Planilha de valores'!J19+'Planilha de valores'!J20+'Planilha de valores'!J21+'Planilha de valores'!J22+'Planilha de valores'!J23+'Planilha de valores'!J24</f>
        <v>7812</v>
      </c>
      <c r="D4" s="134">
        <f t="shared" si="0"/>
        <v>9921.24</v>
      </c>
    </row>
    <row r="5" spans="1:4" ht="15.75" x14ac:dyDescent="0.2">
      <c r="A5" s="140">
        <v>3</v>
      </c>
      <c r="B5" s="137" t="s">
        <v>252</v>
      </c>
      <c r="C5" s="138">
        <f>'Planilha de valores'!J32</f>
        <v>179326.36600000001</v>
      </c>
      <c r="D5" s="134">
        <f t="shared" si="0"/>
        <v>227744.48482000001</v>
      </c>
    </row>
    <row r="6" spans="1:4" ht="15.75" x14ac:dyDescent="0.2">
      <c r="A6" s="140">
        <v>4</v>
      </c>
      <c r="B6" s="137" t="s">
        <v>406</v>
      </c>
      <c r="C6" s="135">
        <f>'Planilha de valores'!J42</f>
        <v>7405.1776000000009</v>
      </c>
      <c r="D6" s="134">
        <f t="shared" si="0"/>
        <v>9404.5755520000021</v>
      </c>
    </row>
    <row r="7" spans="1:4" ht="15.75" x14ac:dyDescent="0.2">
      <c r="A7" s="140">
        <v>5</v>
      </c>
      <c r="B7" s="137" t="s">
        <v>407</v>
      </c>
      <c r="C7" s="138">
        <f>'Planilha de valores'!J47</f>
        <v>1339.6499999999999</v>
      </c>
      <c r="D7" s="134">
        <f t="shared" si="0"/>
        <v>1701.3554999999999</v>
      </c>
    </row>
    <row r="8" spans="1:4" ht="15.75" x14ac:dyDescent="0.2">
      <c r="A8" s="140">
        <v>6</v>
      </c>
      <c r="B8" s="137" t="s">
        <v>408</v>
      </c>
      <c r="C8" s="135">
        <f>'Planilha de valores'!J52</f>
        <v>2124.7200000000003</v>
      </c>
      <c r="D8" s="134">
        <f t="shared" si="0"/>
        <v>2698.3944000000006</v>
      </c>
    </row>
    <row r="9" spans="1:4" ht="15.75" x14ac:dyDescent="0.2">
      <c r="A9" s="140">
        <v>7</v>
      </c>
      <c r="B9" s="144" t="s">
        <v>381</v>
      </c>
      <c r="C9" s="142">
        <f>'Planilha de valores'!J57</f>
        <v>351241</v>
      </c>
      <c r="D9" s="134">
        <f t="shared" si="0"/>
        <v>446076.07</v>
      </c>
    </row>
    <row r="10" spans="1:4" ht="15.75" x14ac:dyDescent="0.2">
      <c r="A10" s="140">
        <v>8</v>
      </c>
      <c r="B10" s="137" t="s">
        <v>409</v>
      </c>
      <c r="C10" s="138">
        <f>'Planilha de valores'!J73</f>
        <v>5164.3600000000015</v>
      </c>
      <c r="D10" s="134">
        <f t="shared" si="0"/>
        <v>6558.7372000000023</v>
      </c>
    </row>
    <row r="11" spans="1:4" ht="15.75" x14ac:dyDescent="0.2">
      <c r="A11" s="140">
        <v>9</v>
      </c>
      <c r="B11" s="137" t="s">
        <v>16</v>
      </c>
      <c r="C11" s="135">
        <f>'Planilha de valores'!J61</f>
        <v>11145.599999999999</v>
      </c>
      <c r="D11" s="134">
        <f t="shared" si="0"/>
        <v>14154.911999999998</v>
      </c>
    </row>
    <row r="12" spans="1:4" ht="15.75" x14ac:dyDescent="0.2">
      <c r="A12" s="140">
        <v>10</v>
      </c>
      <c r="B12" s="137" t="s">
        <v>410</v>
      </c>
      <c r="C12" s="138">
        <f>'Planilha de valores'!J91</f>
        <v>3736780.58</v>
      </c>
      <c r="D12" s="134">
        <f t="shared" si="0"/>
        <v>4745711.3366</v>
      </c>
    </row>
    <row r="13" spans="1:4" ht="15.75" x14ac:dyDescent="0.2">
      <c r="A13" s="140">
        <v>11</v>
      </c>
      <c r="B13" s="137" t="s">
        <v>411</v>
      </c>
      <c r="C13" s="135">
        <f>'Planilha de valores'!J182</f>
        <v>179339.87644444441</v>
      </c>
      <c r="D13" s="134">
        <f t="shared" si="0"/>
        <v>227761.6430844444</v>
      </c>
    </row>
    <row r="14" spans="1:4" ht="15.75" x14ac:dyDescent="0.2">
      <c r="A14" s="140">
        <v>12</v>
      </c>
      <c r="B14" s="137" t="s">
        <v>412</v>
      </c>
      <c r="C14" s="138">
        <f>'Planilha de valores'!J198+'Planilha de valores'!J200</f>
        <v>60139.200000000004</v>
      </c>
      <c r="D14" s="134">
        <f>C14*1.3</f>
        <v>78180.960000000006</v>
      </c>
    </row>
    <row r="15" spans="1:4" ht="15.75" x14ac:dyDescent="0.2">
      <c r="A15" s="140">
        <v>13</v>
      </c>
      <c r="B15" s="137" t="s">
        <v>413</v>
      </c>
      <c r="C15" s="135">
        <f>'Planilha de valores'!J202+'Planilha de valores'!J203+'Planilha de valores'!J204</f>
        <v>98811.199999999997</v>
      </c>
      <c r="D15" s="134">
        <f>C15*1.3</f>
        <v>128454.56</v>
      </c>
    </row>
    <row r="16" spans="1:4" ht="15.75" x14ac:dyDescent="0.2">
      <c r="A16" s="140">
        <v>14</v>
      </c>
      <c r="B16" s="137" t="s">
        <v>244</v>
      </c>
      <c r="C16" s="138">
        <f>'Planilha de valores'!J206+'Planilha de valores'!J207</f>
        <v>47972.42</v>
      </c>
      <c r="D16" s="134">
        <f>C16*1.3</f>
        <v>62364.146000000001</v>
      </c>
    </row>
    <row r="17" spans="1:6" ht="15.75" x14ac:dyDescent="0.2">
      <c r="A17" s="140">
        <v>15</v>
      </c>
      <c r="B17" s="137" t="s">
        <v>249</v>
      </c>
      <c r="C17" s="139">
        <f>'Planilha de valores'!J209+'Planilha de valores'!J210</f>
        <v>6427.52</v>
      </c>
      <c r="D17" s="134">
        <f>C17*1.3</f>
        <v>8355.7760000000017</v>
      </c>
    </row>
    <row r="18" spans="1:6" x14ac:dyDescent="0.2">
      <c r="B18" s="189" t="s">
        <v>220</v>
      </c>
      <c r="C18" s="191">
        <f>SUM(C3:C17)</f>
        <v>4701867.860044444</v>
      </c>
      <c r="D18" s="193">
        <f>SUM(D3:D17)</f>
        <v>5977772.6924564429</v>
      </c>
    </row>
    <row r="19" spans="1:6" ht="15.75" thickBot="1" x14ac:dyDescent="0.3">
      <c r="B19" s="190"/>
      <c r="C19" s="192"/>
      <c r="D19" s="194"/>
      <c r="F19" s="143"/>
    </row>
    <row r="41" spans="5:5" ht="13.5" thickBot="1" x14ac:dyDescent="0.25">
      <c r="E41" s="160">
        <v>726944.27</v>
      </c>
    </row>
    <row r="42" spans="5:5" ht="13.5" thickBot="1" x14ac:dyDescent="0.25">
      <c r="E42" s="160">
        <v>907827.75</v>
      </c>
    </row>
    <row r="43" spans="5:5" ht="13.5" thickBot="1" x14ac:dyDescent="0.25">
      <c r="E43" s="160">
        <v>130598.33</v>
      </c>
    </row>
    <row r="44" spans="5:5" ht="13.5" thickBot="1" x14ac:dyDescent="0.25">
      <c r="E44" s="160">
        <v>61662.14</v>
      </c>
    </row>
    <row r="45" spans="5:5" ht="13.5" thickBot="1" x14ac:dyDescent="0.25">
      <c r="E45" s="160">
        <v>132438.09</v>
      </c>
    </row>
    <row r="46" spans="5:5" ht="13.5" thickBot="1" x14ac:dyDescent="0.25">
      <c r="E46" s="160">
        <v>20437.13</v>
      </c>
    </row>
    <row r="47" spans="5:5" ht="13.5" thickBot="1" x14ac:dyDescent="0.25">
      <c r="E47" s="160">
        <v>60331.6</v>
      </c>
    </row>
    <row r="48" spans="5:5" ht="13.5" thickBot="1" x14ac:dyDescent="0.25">
      <c r="E48" s="160">
        <v>45033.48</v>
      </c>
    </row>
    <row r="49" spans="5:5" ht="13.5" thickBot="1" x14ac:dyDescent="0.25">
      <c r="E49" s="160">
        <v>45033.48</v>
      </c>
    </row>
    <row r="50" spans="5:5" ht="13.5" thickBot="1" x14ac:dyDescent="0.25">
      <c r="E50" s="160">
        <v>126733.3</v>
      </c>
    </row>
    <row r="51" spans="5:5" ht="13.5" thickBot="1" x14ac:dyDescent="0.25">
      <c r="E51" s="160">
        <v>23213.09</v>
      </c>
    </row>
    <row r="52" spans="5:5" ht="13.5" thickBot="1" x14ac:dyDescent="0.25">
      <c r="E52" s="160">
        <v>21532.09</v>
      </c>
    </row>
    <row r="53" spans="5:5" ht="13.5" thickBot="1" x14ac:dyDescent="0.25">
      <c r="E53" s="160">
        <v>1659444.87</v>
      </c>
    </row>
    <row r="54" spans="5:5" ht="13.5" thickBot="1" x14ac:dyDescent="0.25">
      <c r="E54" s="160">
        <v>1511150.44</v>
      </c>
    </row>
    <row r="55" spans="5:5" ht="13.5" thickBot="1" x14ac:dyDescent="0.25">
      <c r="E55" s="160">
        <v>227761.64</v>
      </c>
    </row>
    <row r="56" spans="5:5" ht="13.5" thickBot="1" x14ac:dyDescent="0.25">
      <c r="E56" s="160">
        <v>128454.56</v>
      </c>
    </row>
    <row r="57" spans="5:5" ht="13.5" thickBot="1" x14ac:dyDescent="0.25">
      <c r="E57" s="160">
        <v>86536.74</v>
      </c>
    </row>
    <row r="58" spans="5:5" ht="13.5" thickBot="1" x14ac:dyDescent="0.25">
      <c r="E58" s="160">
        <v>62364.15</v>
      </c>
    </row>
  </sheetData>
  <mergeCells count="7">
    <mergeCell ref="A1:A2"/>
    <mergeCell ref="C1:C2"/>
    <mergeCell ref="D1:D2"/>
    <mergeCell ref="B1:B2"/>
    <mergeCell ref="B18:B19"/>
    <mergeCell ref="C18:C19"/>
    <mergeCell ref="D18:D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H19" sqref="H19"/>
    </sheetView>
  </sheetViews>
  <sheetFormatPr defaultRowHeight="12.75" x14ac:dyDescent="0.2"/>
  <cols>
    <col min="2" max="2" width="42.28515625" customWidth="1"/>
    <col min="4" max="5" width="13.85546875" bestFit="1" customWidth="1"/>
    <col min="6" max="6" width="14.7109375" bestFit="1" customWidth="1"/>
  </cols>
  <sheetData>
    <row r="2" spans="2:6" ht="13.5" thickBot="1" x14ac:dyDescent="0.25"/>
    <row r="3" spans="2:6" ht="26.25" thickBot="1" x14ac:dyDescent="0.25">
      <c r="B3" s="151" t="s">
        <v>421</v>
      </c>
      <c r="C3" s="152" t="s">
        <v>422</v>
      </c>
      <c r="D3" s="152" t="s">
        <v>423</v>
      </c>
      <c r="E3" s="152" t="s">
        <v>424</v>
      </c>
      <c r="F3" s="152" t="s">
        <v>435</v>
      </c>
    </row>
    <row r="4" spans="2:6" ht="13.5" thickBot="1" x14ac:dyDescent="0.25">
      <c r="B4" s="153" t="s">
        <v>425</v>
      </c>
      <c r="C4" s="154">
        <v>1</v>
      </c>
      <c r="D4" s="155">
        <v>572397.06000000006</v>
      </c>
      <c r="E4" s="155">
        <f>D4*C4</f>
        <v>572397.06000000006</v>
      </c>
      <c r="F4" s="155">
        <f>E4*1.27</f>
        <v>726944.26620000007</v>
      </c>
    </row>
    <row r="5" spans="2:6" ht="13.5" thickBot="1" x14ac:dyDescent="0.25">
      <c r="B5" s="153" t="s">
        <v>430</v>
      </c>
      <c r="C5" s="154">
        <v>9</v>
      </c>
      <c r="D5" s="155">
        <f>'Planilha de valores'!I78</f>
        <v>79425</v>
      </c>
      <c r="E5" s="155">
        <f t="shared" ref="E5:E17" si="0">C5*D5</f>
        <v>714825</v>
      </c>
      <c r="F5" s="155">
        <f t="shared" ref="F5:F18" si="1">E5*1.27</f>
        <v>907827.75</v>
      </c>
    </row>
    <row r="6" spans="2:6" ht="13.5" thickBot="1" x14ac:dyDescent="0.25">
      <c r="B6" s="153" t="s">
        <v>431</v>
      </c>
      <c r="C6" s="154">
        <v>1</v>
      </c>
      <c r="D6" s="155">
        <f>'Planilha de valores'!I79</f>
        <v>102833.33333333333</v>
      </c>
      <c r="E6" s="155">
        <f t="shared" si="0"/>
        <v>102833.33333333333</v>
      </c>
      <c r="F6" s="155">
        <f t="shared" si="1"/>
        <v>130598.33333333333</v>
      </c>
    </row>
    <row r="7" spans="2:6" ht="26.25" thickBot="1" x14ac:dyDescent="0.25">
      <c r="B7" s="153" t="s">
        <v>432</v>
      </c>
      <c r="C7" s="154">
        <v>9</v>
      </c>
      <c r="D7" s="155">
        <f>'Planilha de valores'!I80</f>
        <v>5394.7633333333333</v>
      </c>
      <c r="E7" s="155">
        <f t="shared" si="0"/>
        <v>48552.87</v>
      </c>
      <c r="F7" s="155">
        <f t="shared" si="1"/>
        <v>61662.144900000007</v>
      </c>
    </row>
    <row r="8" spans="2:6" ht="26.25" thickBot="1" x14ac:dyDescent="0.25">
      <c r="B8" s="153" t="s">
        <v>433</v>
      </c>
      <c r="C8" s="154">
        <v>4</v>
      </c>
      <c r="D8" s="155">
        <f>'Planilha de valores'!I81</f>
        <v>26070.49</v>
      </c>
      <c r="E8" s="155">
        <f t="shared" si="0"/>
        <v>104281.96</v>
      </c>
      <c r="F8" s="155">
        <f t="shared" si="1"/>
        <v>132438.08920000002</v>
      </c>
    </row>
    <row r="9" spans="2:6" ht="13.5" thickBot="1" x14ac:dyDescent="0.25">
      <c r="B9" s="153" t="s">
        <v>434</v>
      </c>
      <c r="C9" s="154">
        <v>1</v>
      </c>
      <c r="D9" s="155">
        <f>'Planilha de valores'!I82</f>
        <v>16092.230000000001</v>
      </c>
      <c r="E9" s="155">
        <f t="shared" si="0"/>
        <v>16092.230000000001</v>
      </c>
      <c r="F9" s="155">
        <f t="shared" si="1"/>
        <v>20437.132100000003</v>
      </c>
    </row>
    <row r="10" spans="2:6" ht="13.5" thickBot="1" x14ac:dyDescent="0.25">
      <c r="B10" s="153" t="s">
        <v>284</v>
      </c>
      <c r="C10" s="154">
        <v>1</v>
      </c>
      <c r="D10" s="155">
        <f>'Planilha de valores'!I83</f>
        <v>47505.200000000004</v>
      </c>
      <c r="E10" s="155">
        <f t="shared" si="0"/>
        <v>47505.200000000004</v>
      </c>
      <c r="F10" s="155">
        <f t="shared" si="1"/>
        <v>60331.604000000007</v>
      </c>
    </row>
    <row r="11" spans="2:6" ht="13.5" thickBot="1" x14ac:dyDescent="0.25">
      <c r="B11" s="153" t="s">
        <v>419</v>
      </c>
      <c r="C11" s="154">
        <v>1</v>
      </c>
      <c r="D11" s="155">
        <f>'Planilha de valores'!I84</f>
        <v>35459.43</v>
      </c>
      <c r="E11" s="155">
        <f t="shared" si="0"/>
        <v>35459.43</v>
      </c>
      <c r="F11" s="155">
        <f t="shared" si="1"/>
        <v>45033.4761</v>
      </c>
    </row>
    <row r="12" spans="2:6" ht="13.5" thickBot="1" x14ac:dyDescent="0.25">
      <c r="B12" s="153" t="s">
        <v>420</v>
      </c>
      <c r="C12" s="154">
        <v>1</v>
      </c>
      <c r="D12" s="155">
        <f>'Planilha de valores'!I85</f>
        <v>35459.43</v>
      </c>
      <c r="E12" s="155">
        <f t="shared" si="0"/>
        <v>35459.43</v>
      </c>
      <c r="F12" s="155">
        <f t="shared" si="1"/>
        <v>45033.4761</v>
      </c>
    </row>
    <row r="13" spans="2:6" ht="13.5" thickBot="1" x14ac:dyDescent="0.25">
      <c r="B13" s="153" t="s">
        <v>285</v>
      </c>
      <c r="C13" s="154">
        <v>1</v>
      </c>
      <c r="D13" s="155">
        <f>'Planilha de valores'!I86</f>
        <v>99790</v>
      </c>
      <c r="E13" s="155">
        <f t="shared" si="0"/>
        <v>99790</v>
      </c>
      <c r="F13" s="155">
        <f t="shared" si="1"/>
        <v>126733.3</v>
      </c>
    </row>
    <row r="14" spans="2:6" ht="13.5" thickBot="1" x14ac:dyDescent="0.25">
      <c r="B14" s="153" t="s">
        <v>426</v>
      </c>
      <c r="C14" s="154">
        <v>2</v>
      </c>
      <c r="D14" s="155">
        <f>'Planilha de valores'!I87</f>
        <v>9139.0133333333342</v>
      </c>
      <c r="E14" s="155">
        <f t="shared" si="0"/>
        <v>18278.026666666668</v>
      </c>
      <c r="F14" s="155">
        <f t="shared" si="1"/>
        <v>23213.09386666667</v>
      </c>
    </row>
    <row r="15" spans="2:6" ht="13.5" thickBot="1" x14ac:dyDescent="0.25">
      <c r="B15" s="153" t="s">
        <v>287</v>
      </c>
      <c r="C15" s="154">
        <v>2</v>
      </c>
      <c r="D15" s="155">
        <f>'Planilha de valores'!I88</f>
        <v>8477.1999999999989</v>
      </c>
      <c r="E15" s="155">
        <f t="shared" si="0"/>
        <v>16954.399999999998</v>
      </c>
      <c r="F15" s="155">
        <f t="shared" si="1"/>
        <v>21532.087999999996</v>
      </c>
    </row>
    <row r="16" spans="2:6" ht="13.5" thickBot="1" x14ac:dyDescent="0.25">
      <c r="B16" s="153" t="s">
        <v>288</v>
      </c>
      <c r="C16" s="154">
        <v>1</v>
      </c>
      <c r="D16" s="155">
        <f>'Planilha de valores'!I89</f>
        <v>1306649.5</v>
      </c>
      <c r="E16" s="155">
        <f t="shared" si="0"/>
        <v>1306649.5</v>
      </c>
      <c r="F16" s="155">
        <f t="shared" si="1"/>
        <v>1659444.865</v>
      </c>
    </row>
    <row r="17" spans="2:6" ht="13.5" thickBot="1" x14ac:dyDescent="0.25">
      <c r="B17" s="153" t="s">
        <v>289</v>
      </c>
      <c r="C17" s="154">
        <v>8</v>
      </c>
      <c r="D17" s="155">
        <f>'Planilha de valores'!I90</f>
        <v>148735.28</v>
      </c>
      <c r="E17" s="155">
        <f t="shared" si="0"/>
        <v>1189882.24</v>
      </c>
      <c r="F17" s="155">
        <f t="shared" si="1"/>
        <v>1511150.4447999999</v>
      </c>
    </row>
    <row r="18" spans="2:6" ht="13.5" thickBot="1" x14ac:dyDescent="0.25">
      <c r="B18" s="153" t="s">
        <v>427</v>
      </c>
      <c r="C18" s="154">
        <v>1</v>
      </c>
      <c r="D18" s="155">
        <v>179556.84</v>
      </c>
      <c r="E18" s="155">
        <f>D18*C18</f>
        <v>179556.84</v>
      </c>
      <c r="F18" s="155">
        <f t="shared" si="1"/>
        <v>228037.1868</v>
      </c>
    </row>
    <row r="19" spans="2:6" ht="13.5" thickBot="1" x14ac:dyDescent="0.25">
      <c r="B19" s="153" t="s">
        <v>428</v>
      </c>
      <c r="C19" s="154">
        <v>1</v>
      </c>
      <c r="D19" s="155">
        <v>98811.199999999997</v>
      </c>
      <c r="E19" s="155">
        <f>D19*C19</f>
        <v>98811.199999999997</v>
      </c>
      <c r="F19" s="155">
        <f>E19*1.3</f>
        <v>128454.56</v>
      </c>
    </row>
    <row r="20" spans="2:6" ht="13.5" thickBot="1" x14ac:dyDescent="0.25">
      <c r="B20" s="153" t="s">
        <v>429</v>
      </c>
      <c r="C20" s="154">
        <v>1</v>
      </c>
      <c r="D20" s="155">
        <f>Etapas!C14+Etapas!C17</f>
        <v>66566.720000000001</v>
      </c>
      <c r="E20" s="155">
        <f>D20*C20</f>
        <v>66566.720000000001</v>
      </c>
      <c r="F20" s="155">
        <f>E20*1.3</f>
        <v>86536.736000000004</v>
      </c>
    </row>
    <row r="21" spans="2:6" ht="13.5" thickBot="1" x14ac:dyDescent="0.25">
      <c r="B21" s="156" t="s">
        <v>244</v>
      </c>
      <c r="C21" s="157">
        <v>1</v>
      </c>
      <c r="D21" s="158">
        <f>Etapas!C16</f>
        <v>47972.42</v>
      </c>
      <c r="E21" s="155">
        <f>D21*C21</f>
        <v>47972.42</v>
      </c>
      <c r="F21" s="155">
        <f>E21*1.3</f>
        <v>62364.146000000001</v>
      </c>
    </row>
    <row r="22" spans="2:6" ht="13.5" thickBot="1" x14ac:dyDescent="0.25">
      <c r="B22" s="195" t="s">
        <v>436</v>
      </c>
      <c r="C22" s="196"/>
      <c r="D22" s="196"/>
      <c r="E22" s="197"/>
      <c r="F22" s="159">
        <f>SUM(F4:F21)</f>
        <v>5977772.6923999991</v>
      </c>
    </row>
  </sheetData>
  <mergeCells count="1">
    <mergeCell ref="B22:E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de valores</vt:lpstr>
      <vt:lpstr>Etapas</vt:lpstr>
      <vt:lpstr>Orçamento resumo</vt:lpstr>
      <vt:lpstr>'Planilha de valores'!Area_de_impressao</vt:lpstr>
    </vt:vector>
  </TitlesOfParts>
  <Company>R.A.M Informática S/C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eng</cp:lastModifiedBy>
  <cp:lastPrinted>2019-11-29T11:37:02Z</cp:lastPrinted>
  <dcterms:created xsi:type="dcterms:W3CDTF">1998-08-13T20:50:41Z</dcterms:created>
  <dcterms:modified xsi:type="dcterms:W3CDTF">2019-12-05T12:17:45Z</dcterms:modified>
</cp:coreProperties>
</file>